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drawings/drawing8.xml" ContentType="application/vnd.openxmlformats-officedocument.drawing+xml"/>
  <Override PartName="/xl/comments3.xml" ContentType="application/vnd.openxmlformats-officedocument.spreadsheetml.comments+xml"/>
  <Override PartName="/xl/drawings/drawing9.xml" ContentType="application/vnd.openxmlformats-officedocument.drawing+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drawings/drawing11.xml" ContentType="application/vnd.openxmlformats-officedocument.drawing+xml"/>
  <Override PartName="/xl/comments6.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026"/>
  <workbookPr/>
  <mc:AlternateContent xmlns:mc="http://schemas.openxmlformats.org/markup-compatibility/2006">
    <mc:Choice Requires="x15">
      <x15ac:absPath xmlns:x15ac="http://schemas.microsoft.com/office/spreadsheetml/2010/11/ac" url="G:\GOIÁSFOMENTO-ATUALIZADA\RELAÇÃO DE CONTRATOS E TERMOS ADITIVOS-2021\"/>
    </mc:Choice>
  </mc:AlternateContent>
  <xr:revisionPtr revIDLastSave="0" documentId="8_{66C064D4-B07A-40E2-A011-DFE0C1DEFD79}" xr6:coauthVersionLast="47" xr6:coauthVersionMax="47" xr10:uidLastSave="{00000000-0000-0000-0000-000000000000}"/>
  <bookViews>
    <workbookView xWindow="-120" yWindow="-120" windowWidth="29040" windowHeight="15840" tabRatio="870" firstSheet="19" activeTab="23"/>
  </bookViews>
  <sheets>
    <sheet name="Posição em 31_03_2007 TCE" sheetId="1" r:id="rId1"/>
    <sheet name="Posição em 25-08-2008  TCE" sheetId="2" r:id="rId2"/>
    <sheet name="Posição em 31_12_2005 _ TCE" sheetId="4" r:id="rId3"/>
    <sheet name="Posição em 31_12_2007" sheetId="5" r:id="rId4"/>
    <sheet name="Posição em 31-12-2008 TCE" sheetId="3" r:id="rId5"/>
    <sheet name="Rascunho de 2008" sheetId="6" r:id="rId6"/>
    <sheet name="Posição em 31-12-2009" sheetId="10" r:id="rId7"/>
    <sheet name="Posição em 31-12-2010" sheetId="8" r:id="rId8"/>
    <sheet name="Posição em 2011" sheetId="12" r:id="rId9"/>
    <sheet name="Posição em 31-12-2011" sheetId="15" r:id="rId10"/>
    <sheet name="Posição em 2012" sheetId="16" r:id="rId11"/>
    <sheet name="Planilha TCEGO em 31-03-2012" sheetId="17" r:id="rId12"/>
    <sheet name="Planilha TCE-GO em 31-12-2011" sheetId="18" r:id="rId13"/>
    <sheet name="Planilha enviada ao COOFI" sheetId="19" r:id="rId14"/>
    <sheet name="Posição em 2012 (2)" sheetId="20" r:id="rId15"/>
    <sheet name="Posição em 2013" sheetId="21" r:id="rId16"/>
    <sheet name="Posição em 2014" sheetId="22" r:id="rId17"/>
    <sheet name="Posição em 2015" sheetId="23" r:id="rId18"/>
    <sheet name="Posição em 2016" sheetId="24" r:id="rId19"/>
    <sheet name="Posição em 2017" sheetId="25" r:id="rId20"/>
    <sheet name="Posição em 2018" sheetId="26" r:id="rId21"/>
    <sheet name="Posição em 2019" sheetId="27" r:id="rId22"/>
    <sheet name="Posição em 2020" sheetId="28" r:id="rId23"/>
    <sheet name="Posição em 2021" sheetId="29" r:id="rId24"/>
    <sheet name="Planilha1" sheetId="30" r:id="rId25"/>
  </sheets>
  <definedNames>
    <definedName name="_xlnm.Print_Titles" localSheetId="11">'Planilha TCEGO em 31-03-2012'!$1:$10</definedName>
    <definedName name="_xlnm.Print_Titles" localSheetId="12">'Planilha TCE-GO em 31-12-2011'!$1:$10</definedName>
    <definedName name="_xlnm.Print_Titles" localSheetId="8">'Posição em 2011'!$1:$10</definedName>
    <definedName name="_xlnm.Print_Titles" localSheetId="0">'Posição em 31_03_2007 TCE'!$1:$10</definedName>
    <definedName name="_xlnm.Print_Titles" localSheetId="4">'Posição em 31-12-2008 TCE'!$1:$10</definedName>
    <definedName name="_xlnm.Print_Titles" localSheetId="6">'Posição em 31-12-2009'!$1:$10</definedName>
    <definedName name="_xlnm.Print_Titles" localSheetId="7">'Posição em 31-12-2010'!$1:$10</definedName>
    <definedName name="_xlnm.Print_Titles" localSheetId="5">'Rascunho de 2008'!$1:$10</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94" i="29" l="1" a="1"/>
  <c r="D194" i="29"/>
  <c r="E10" i="29"/>
  <c r="E11" i="28"/>
  <c r="S23" i="27"/>
  <c r="R161" i="27"/>
  <c r="Q161" i="27"/>
  <c r="P161" i="27"/>
  <c r="O161" i="27"/>
  <c r="N161" i="27"/>
  <c r="M161" i="27"/>
  <c r="L161" i="27"/>
  <c r="S161" i="27"/>
  <c r="L12" i="27"/>
  <c r="K12" i="27"/>
  <c r="J12" i="27"/>
  <c r="I12" i="27"/>
  <c r="H12" i="27"/>
  <c r="G12" i="27"/>
  <c r="H11" i="27"/>
  <c r="S11" i="27"/>
  <c r="AE12" i="27"/>
  <c r="L48" i="27"/>
  <c r="S48" i="27"/>
  <c r="S196" i="27"/>
  <c r="Q188" i="27"/>
  <c r="O188" i="27"/>
  <c r="N188" i="27"/>
  <c r="M188" i="27"/>
  <c r="S188" i="27"/>
  <c r="R187" i="27"/>
  <c r="Q187" i="27"/>
  <c r="P187" i="27"/>
  <c r="O187" i="27"/>
  <c r="S187" i="27"/>
  <c r="K187" i="27"/>
  <c r="J187" i="27"/>
  <c r="S181" i="27"/>
  <c r="N177" i="27"/>
  <c r="S177" i="27"/>
  <c r="H175" i="27"/>
  <c r="N166" i="27"/>
  <c r="R165" i="27"/>
  <c r="Q165" i="27"/>
  <c r="P165" i="27"/>
  <c r="O165" i="27"/>
  <c r="M165" i="27"/>
  <c r="L165" i="27"/>
  <c r="K165" i="27"/>
  <c r="J165" i="27"/>
  <c r="S165" i="27"/>
  <c r="O159" i="27"/>
  <c r="S159" i="27"/>
  <c r="Q157" i="27"/>
  <c r="N157" i="27"/>
  <c r="I157" i="27"/>
  <c r="S156" i="27"/>
  <c r="M149" i="27"/>
  <c r="O149" i="27"/>
  <c r="P149" i="27"/>
  <c r="R149" i="27"/>
  <c r="K149" i="27"/>
  <c r="I149" i="27"/>
  <c r="S149" i="27"/>
  <c r="H149" i="27"/>
  <c r="G149" i="27"/>
  <c r="S148" i="27"/>
  <c r="N147" i="27"/>
  <c r="S146" i="27"/>
  <c r="N144" i="27"/>
  <c r="G144" i="27"/>
  <c r="S144" i="27"/>
  <c r="R144" i="27"/>
  <c r="Q144" i="27"/>
  <c r="J144" i="27"/>
  <c r="I144" i="27"/>
  <c r="M143" i="27"/>
  <c r="S143" i="27"/>
  <c r="L141" i="27"/>
  <c r="S141" i="27"/>
  <c r="I137" i="27"/>
  <c r="R133" i="27"/>
  <c r="Q133" i="27"/>
  <c r="O133" i="27"/>
  <c r="K133" i="27"/>
  <c r="H133" i="27"/>
  <c r="S133" i="27"/>
  <c r="S132" i="27"/>
  <c r="M112" i="27"/>
  <c r="S112" i="27"/>
  <c r="J110" i="27"/>
  <c r="S110" i="27"/>
  <c r="N105" i="27"/>
  <c r="S105" i="27"/>
  <c r="H96" i="27"/>
  <c r="S96" i="27"/>
  <c r="S82" i="27"/>
  <c r="Q65" i="27"/>
  <c r="J65" i="27"/>
  <c r="I65" i="27"/>
  <c r="S65" i="27"/>
  <c r="N53" i="27"/>
  <c r="G53" i="27"/>
  <c r="P53" i="27"/>
  <c r="R53" i="27"/>
  <c r="Q53" i="27"/>
  <c r="O53" i="27"/>
  <c r="M53" i="27"/>
  <c r="L53" i="27"/>
  <c r="K53" i="27"/>
  <c r="J53" i="27"/>
  <c r="I53" i="27"/>
  <c r="H53" i="27"/>
  <c r="N54" i="27"/>
  <c r="S54" i="27"/>
  <c r="Q52" i="27"/>
  <c r="N52" i="27"/>
  <c r="S52" i="27"/>
  <c r="R22" i="27"/>
  <c r="S22" i="27"/>
  <c r="R9" i="27"/>
  <c r="R64" i="27"/>
  <c r="N64" i="27"/>
  <c r="K64" i="27"/>
  <c r="J64" i="27"/>
  <c r="H64" i="27"/>
  <c r="G64" i="27"/>
  <c r="G63" i="27"/>
  <c r="S63" i="27"/>
  <c r="I51" i="27"/>
  <c r="S51" i="27"/>
  <c r="S47" i="27"/>
  <c r="H44" i="27"/>
  <c r="S44" i="27"/>
  <c r="Q22" i="27"/>
  <c r="P22" i="27"/>
  <c r="N22" i="27"/>
  <c r="M22" i="27"/>
  <c r="L22" i="27"/>
  <c r="J22" i="27"/>
  <c r="I22" i="27"/>
  <c r="H22" i="27"/>
  <c r="G22" i="27"/>
  <c r="K22" i="27"/>
  <c r="Q164" i="27"/>
  <c r="S164" i="27"/>
  <c r="H19" i="27"/>
  <c r="S19" i="27"/>
  <c r="M184" i="27"/>
  <c r="I184" i="27"/>
  <c r="S184" i="27"/>
  <c r="G27" i="27"/>
  <c r="S27" i="27"/>
  <c r="R190" i="27"/>
  <c r="P190" i="27"/>
  <c r="S190" i="27"/>
  <c r="L18" i="27"/>
  <c r="I18" i="27"/>
  <c r="H18" i="27"/>
  <c r="L167" i="27"/>
  <c r="H167" i="27"/>
  <c r="S167" i="27"/>
  <c r="N10" i="27"/>
  <c r="L10" i="27"/>
  <c r="J10" i="27"/>
  <c r="I10" i="27"/>
  <c r="H10" i="27"/>
  <c r="G10" i="27"/>
  <c r="K9" i="27"/>
  <c r="H9" i="27"/>
  <c r="S9" i="27"/>
  <c r="AE141" i="27"/>
  <c r="AE55" i="27"/>
  <c r="S55" i="27"/>
  <c r="AE207" i="27"/>
  <c r="S207" i="27"/>
  <c r="AE206" i="27"/>
  <c r="S206" i="27"/>
  <c r="AE205" i="27"/>
  <c r="S205" i="27"/>
  <c r="AE204" i="27"/>
  <c r="S204" i="27"/>
  <c r="AE203" i="27"/>
  <c r="S203" i="27"/>
  <c r="AE202" i="27"/>
  <c r="S202" i="27"/>
  <c r="AE201" i="27"/>
  <c r="S201" i="27"/>
  <c r="AE200" i="27"/>
  <c r="S200" i="27"/>
  <c r="AE199" i="27"/>
  <c r="S199" i="27"/>
  <c r="AE220" i="27"/>
  <c r="S220" i="27"/>
  <c r="AE219" i="27"/>
  <c r="S219" i="27"/>
  <c r="AE218" i="27"/>
  <c r="S218" i="27"/>
  <c r="AE217" i="27"/>
  <c r="S217" i="27"/>
  <c r="AE216" i="27"/>
  <c r="S216" i="27"/>
  <c r="AE215" i="27"/>
  <c r="S215" i="27"/>
  <c r="AE214" i="27"/>
  <c r="S214" i="27"/>
  <c r="AE213" i="27"/>
  <c r="S213" i="27"/>
  <c r="AE212" i="27"/>
  <c r="S212" i="27"/>
  <c r="AE211" i="27"/>
  <c r="S211" i="27"/>
  <c r="AE210" i="27"/>
  <c r="S210" i="27"/>
  <c r="AE209" i="27"/>
  <c r="S209" i="27"/>
  <c r="AE208" i="27"/>
  <c r="S208" i="27"/>
  <c r="AE198" i="27"/>
  <c r="S198" i="27"/>
  <c r="AE222" i="27"/>
  <c r="S222" i="27"/>
  <c r="AE221" i="27"/>
  <c r="S221" i="27"/>
  <c r="AE197" i="27"/>
  <c r="S197" i="27"/>
  <c r="AE196" i="27"/>
  <c r="AE195" i="27"/>
  <c r="S195" i="27"/>
  <c r="AE194" i="27"/>
  <c r="S194" i="27"/>
  <c r="AE185" i="27"/>
  <c r="S185" i="27"/>
  <c r="AE3" i="27"/>
  <c r="T92" i="27" s="1"/>
  <c r="S6" i="27"/>
  <c r="AE6" i="27"/>
  <c r="S7" i="27"/>
  <c r="AE7" i="27"/>
  <c r="S8" i="27"/>
  <c r="AE8" i="27"/>
  <c r="AE9" i="27"/>
  <c r="AE10" i="27"/>
  <c r="AE11" i="27"/>
  <c r="S13" i="27"/>
  <c r="AE13" i="27"/>
  <c r="AE14" i="27"/>
  <c r="S15" i="27"/>
  <c r="AE15" i="27"/>
  <c r="S16" i="27"/>
  <c r="AE16" i="27"/>
  <c r="S17" i="27"/>
  <c r="AE17" i="27"/>
  <c r="AE18" i="27"/>
  <c r="AE19" i="27"/>
  <c r="S20" i="27"/>
  <c r="AE20" i="27"/>
  <c r="S21" i="27"/>
  <c r="AE21" i="27"/>
  <c r="AE22" i="27"/>
  <c r="AE23" i="27"/>
  <c r="S24" i="27"/>
  <c r="AE24" i="27"/>
  <c r="S25" i="27"/>
  <c r="AE25" i="27"/>
  <c r="S26" i="27"/>
  <c r="AE26" i="27"/>
  <c r="AE27" i="27"/>
  <c r="S28" i="27"/>
  <c r="AE28" i="27"/>
  <c r="S29" i="27"/>
  <c r="AE29" i="27"/>
  <c r="S30" i="27"/>
  <c r="AE30" i="27"/>
  <c r="S31" i="27"/>
  <c r="AE31" i="27"/>
  <c r="S32" i="27"/>
  <c r="AE32" i="27"/>
  <c r="S33" i="27"/>
  <c r="AE33" i="27"/>
  <c r="S34" i="27"/>
  <c r="AE34" i="27"/>
  <c r="S35" i="27"/>
  <c r="AE35" i="27"/>
  <c r="S36" i="27"/>
  <c r="AE36" i="27"/>
  <c r="S37" i="27"/>
  <c r="AE37" i="27"/>
  <c r="S38" i="27"/>
  <c r="AE38" i="27"/>
  <c r="S39" i="27"/>
  <c r="AE39" i="27"/>
  <c r="S40" i="27"/>
  <c r="AE40" i="27"/>
  <c r="S41" i="27"/>
  <c r="AE41" i="27"/>
  <c r="S42" i="27"/>
  <c r="AE42" i="27"/>
  <c r="S43" i="27"/>
  <c r="AE43" i="27"/>
  <c r="AE44" i="27"/>
  <c r="S45" i="27"/>
  <c r="AE45" i="27"/>
  <c r="S46" i="27"/>
  <c r="AE46" i="27"/>
  <c r="AE47" i="27"/>
  <c r="AE48" i="27"/>
  <c r="S49" i="27"/>
  <c r="AE49" i="27"/>
  <c r="S50" i="27"/>
  <c r="AE50" i="27"/>
  <c r="AE51" i="27"/>
  <c r="AE52" i="27"/>
  <c r="AE53" i="27"/>
  <c r="AE54" i="27"/>
  <c r="S56" i="27"/>
  <c r="AE56" i="27"/>
  <c r="S57" i="27"/>
  <c r="AE57" i="27"/>
  <c r="S58" i="27"/>
  <c r="AE58" i="27"/>
  <c r="S59" i="27"/>
  <c r="AE59" i="27"/>
  <c r="S60" i="27"/>
  <c r="AE60" i="27"/>
  <c r="S61" i="27"/>
  <c r="AE61" i="27"/>
  <c r="S62" i="27"/>
  <c r="AE62" i="27"/>
  <c r="AE63" i="27"/>
  <c r="AE64" i="27"/>
  <c r="AE65" i="27"/>
  <c r="S66" i="27"/>
  <c r="AE66" i="27"/>
  <c r="S67" i="27"/>
  <c r="AE67" i="27"/>
  <c r="S68" i="27"/>
  <c r="AE68" i="27"/>
  <c r="S69" i="27"/>
  <c r="AE69" i="27"/>
  <c r="S70" i="27"/>
  <c r="AE70" i="27"/>
  <c r="S71" i="27"/>
  <c r="AE71" i="27"/>
  <c r="S72" i="27"/>
  <c r="AE72" i="27"/>
  <c r="S73" i="27"/>
  <c r="AE73" i="27"/>
  <c r="S74" i="27"/>
  <c r="AE74" i="27"/>
  <c r="S75" i="27"/>
  <c r="AE75" i="27"/>
  <c r="S76" i="27"/>
  <c r="AE76" i="27"/>
  <c r="S77" i="27"/>
  <c r="AE77" i="27"/>
  <c r="S78" i="27"/>
  <c r="AE78" i="27"/>
  <c r="S79" i="27"/>
  <c r="AE79" i="27"/>
  <c r="S80" i="27"/>
  <c r="AE80" i="27"/>
  <c r="S81" i="27"/>
  <c r="AE81" i="27"/>
  <c r="AE82" i="27"/>
  <c r="S83" i="27"/>
  <c r="AE83" i="27"/>
  <c r="S84" i="27"/>
  <c r="AE84" i="27"/>
  <c r="S85" i="27"/>
  <c r="AE85" i="27"/>
  <c r="S86" i="27"/>
  <c r="AE86" i="27"/>
  <c r="S87" i="27"/>
  <c r="AE87" i="27"/>
  <c r="S88" i="27"/>
  <c r="AE88" i="27"/>
  <c r="S89" i="27"/>
  <c r="AE89" i="27"/>
  <c r="S90" i="27"/>
  <c r="AE90" i="27"/>
  <c r="S91" i="27"/>
  <c r="AE91" i="27"/>
  <c r="S92" i="27"/>
  <c r="AE92" i="27"/>
  <c r="S93" i="27"/>
  <c r="AE93" i="27"/>
  <c r="S94" i="27"/>
  <c r="AE94" i="27"/>
  <c r="S95" i="27"/>
  <c r="AE95" i="27"/>
  <c r="AE96" i="27"/>
  <c r="S97" i="27"/>
  <c r="AE97" i="27"/>
  <c r="S98" i="27"/>
  <c r="AE98" i="27"/>
  <c r="S99" i="27"/>
  <c r="AE99" i="27"/>
  <c r="S100" i="27"/>
  <c r="AE100" i="27"/>
  <c r="S101" i="27"/>
  <c r="AE101" i="27"/>
  <c r="S102" i="27"/>
  <c r="AE102" i="27"/>
  <c r="S103" i="27"/>
  <c r="AE103" i="27"/>
  <c r="S104" i="27"/>
  <c r="AE104" i="27"/>
  <c r="AE105" i="27"/>
  <c r="S106" i="27"/>
  <c r="AE106" i="27"/>
  <c r="S107" i="27"/>
  <c r="AE107" i="27"/>
  <c r="S108" i="27"/>
  <c r="AE108" i="27"/>
  <c r="S109" i="27"/>
  <c r="AE109" i="27"/>
  <c r="AE110" i="27"/>
  <c r="S111" i="27"/>
  <c r="AE111" i="27"/>
  <c r="AE112" i="27"/>
  <c r="S113" i="27"/>
  <c r="AE113" i="27"/>
  <c r="S114" i="27"/>
  <c r="AE114" i="27"/>
  <c r="S115" i="27"/>
  <c r="AE115" i="27"/>
  <c r="S116" i="27"/>
  <c r="AE116" i="27"/>
  <c r="S117" i="27"/>
  <c r="AE117" i="27"/>
  <c r="S118" i="27"/>
  <c r="AE118" i="27"/>
  <c r="S119" i="27"/>
  <c r="AE119" i="27"/>
  <c r="S120" i="27"/>
  <c r="AE120" i="27"/>
  <c r="S121" i="27"/>
  <c r="AE121" i="27"/>
  <c r="S122" i="27"/>
  <c r="AE122" i="27"/>
  <c r="S123" i="27"/>
  <c r="AE123" i="27"/>
  <c r="S124" i="27"/>
  <c r="AE124" i="27"/>
  <c r="S125" i="27"/>
  <c r="AE125" i="27"/>
  <c r="S126" i="27"/>
  <c r="AE126" i="27"/>
  <c r="S127" i="27"/>
  <c r="AE127" i="27"/>
  <c r="S128" i="27"/>
  <c r="AE128" i="27"/>
  <c r="S129" i="27"/>
  <c r="AE129" i="27"/>
  <c r="S130" i="27"/>
  <c r="AE130" i="27"/>
  <c r="S131" i="27"/>
  <c r="AE131" i="27"/>
  <c r="AE132" i="27"/>
  <c r="AE133" i="27"/>
  <c r="S134" i="27"/>
  <c r="AE134" i="27"/>
  <c r="S135" i="27"/>
  <c r="AE135" i="27"/>
  <c r="S136" i="27"/>
  <c r="AE136" i="27"/>
  <c r="S137" i="27"/>
  <c r="AE137" i="27"/>
  <c r="S138" i="27"/>
  <c r="AE138" i="27"/>
  <c r="S139" i="27"/>
  <c r="AE139" i="27"/>
  <c r="S140" i="27"/>
  <c r="AE140" i="27"/>
  <c r="S142" i="27"/>
  <c r="AE142" i="27"/>
  <c r="AE143" i="27"/>
  <c r="AE144" i="27"/>
  <c r="S145" i="27"/>
  <c r="AE145" i="27"/>
  <c r="AE146" i="27"/>
  <c r="S147" i="27"/>
  <c r="AE147" i="27"/>
  <c r="AE148" i="27"/>
  <c r="AE149" i="27"/>
  <c r="S150" i="27"/>
  <c r="AE150" i="27"/>
  <c r="S151" i="27"/>
  <c r="AE151" i="27"/>
  <c r="S152" i="27"/>
  <c r="AE152" i="27"/>
  <c r="S153" i="27"/>
  <c r="AE153" i="27"/>
  <c r="S154" i="27"/>
  <c r="AE154" i="27"/>
  <c r="S155" i="27"/>
  <c r="AE155" i="27"/>
  <c r="AE156" i="27"/>
  <c r="AE157" i="27"/>
  <c r="S158" i="27"/>
  <c r="AE158" i="27"/>
  <c r="AE159" i="27"/>
  <c r="S160" i="27"/>
  <c r="AE160" i="27"/>
  <c r="AE161" i="27"/>
  <c r="S162" i="27"/>
  <c r="AE162" i="27"/>
  <c r="S163" i="27"/>
  <c r="AE163" i="27"/>
  <c r="AE164" i="27"/>
  <c r="AE165" i="27"/>
  <c r="S166" i="27"/>
  <c r="AE166" i="27"/>
  <c r="AE167" i="27"/>
  <c r="S168" i="27"/>
  <c r="AE168" i="27"/>
  <c r="S169" i="27"/>
  <c r="AE169" i="27"/>
  <c r="S170" i="27"/>
  <c r="AE170" i="27"/>
  <c r="S171" i="27"/>
  <c r="AE171" i="27"/>
  <c r="S172" i="27"/>
  <c r="AE172" i="27"/>
  <c r="S173" i="27"/>
  <c r="AE173" i="27"/>
  <c r="S174" i="27"/>
  <c r="AE174" i="27"/>
  <c r="S175" i="27"/>
  <c r="AE175" i="27"/>
  <c r="S176" i="27"/>
  <c r="AE176" i="27"/>
  <c r="AE177" i="27"/>
  <c r="S178" i="27"/>
  <c r="AE178" i="27"/>
  <c r="S179" i="27"/>
  <c r="AE179" i="27"/>
  <c r="S180" i="27"/>
  <c r="AE180" i="27"/>
  <c r="AE181" i="27"/>
  <c r="S182" i="27"/>
  <c r="AE182" i="27"/>
  <c r="S183" i="27"/>
  <c r="AE183" i="27"/>
  <c r="AE184" i="27"/>
  <c r="S186" i="27"/>
  <c r="AE186" i="27"/>
  <c r="AE187" i="27"/>
  <c r="AE188" i="27"/>
  <c r="S189" i="27"/>
  <c r="AE189" i="27"/>
  <c r="AE190" i="27"/>
  <c r="S191" i="27"/>
  <c r="AE191" i="27"/>
  <c r="S192" i="27"/>
  <c r="AE192" i="27"/>
  <c r="S193" i="27"/>
  <c r="AE193" i="27"/>
  <c r="S223" i="27"/>
  <c r="AE223" i="27"/>
  <c r="AE3" i="26"/>
  <c r="F6" i="26"/>
  <c r="S6" i="26"/>
  <c r="AE6" i="26"/>
  <c r="S7" i="26"/>
  <c r="AE7" i="26"/>
  <c r="S8" i="26"/>
  <c r="AE8" i="26"/>
  <c r="S9" i="26"/>
  <c r="AE9" i="26"/>
  <c r="S10" i="26"/>
  <c r="AE10" i="26"/>
  <c r="S11" i="26"/>
  <c r="AE11" i="26"/>
  <c r="S12" i="26"/>
  <c r="AE12" i="26"/>
  <c r="S13" i="26"/>
  <c r="AE13" i="26"/>
  <c r="I14" i="26"/>
  <c r="S14" i="26"/>
  <c r="K14" i="26"/>
  <c r="R14" i="26"/>
  <c r="AE14" i="26"/>
  <c r="H15" i="26"/>
  <c r="I15" i="26"/>
  <c r="J15" i="26"/>
  <c r="K15" i="26"/>
  <c r="L15" i="26"/>
  <c r="M15" i="26"/>
  <c r="N15" i="26"/>
  <c r="S15" i="26"/>
  <c r="O15" i="26"/>
  <c r="P15" i="26"/>
  <c r="Q15" i="26"/>
  <c r="R15" i="26"/>
  <c r="AE15" i="26"/>
  <c r="S16" i="26"/>
  <c r="AE16" i="26"/>
  <c r="M17" i="26"/>
  <c r="S17" i="26"/>
  <c r="AE17" i="26"/>
  <c r="J18" i="26"/>
  <c r="S18" i="26"/>
  <c r="Q18" i="26"/>
  <c r="AE18" i="26"/>
  <c r="M19" i="26"/>
  <c r="S19" i="26"/>
  <c r="Q19" i="26"/>
  <c r="R19" i="26"/>
  <c r="AE19" i="26"/>
  <c r="S20" i="26"/>
  <c r="AE20" i="26"/>
  <c r="S21" i="26"/>
  <c r="AE21" i="26"/>
  <c r="S22" i="26"/>
  <c r="AE22" i="26"/>
  <c r="S23" i="26"/>
  <c r="AE23" i="26"/>
  <c r="H24" i="26"/>
  <c r="S24" i="26"/>
  <c r="P24" i="26"/>
  <c r="Q24" i="26"/>
  <c r="AE24" i="26"/>
  <c r="S25" i="26"/>
  <c r="AE25" i="26"/>
  <c r="O26" i="26"/>
  <c r="P26" i="26"/>
  <c r="S26" i="26"/>
  <c r="Q26" i="26"/>
  <c r="R26" i="26"/>
  <c r="AE26" i="26"/>
  <c r="P27" i="26"/>
  <c r="S27" i="26"/>
  <c r="AE27" i="26"/>
  <c r="P28" i="26"/>
  <c r="S28" i="26"/>
  <c r="R28" i="26"/>
  <c r="AE28" i="26"/>
  <c r="I29" i="26"/>
  <c r="S29" i="26"/>
  <c r="K29" i="26"/>
  <c r="AE29" i="26"/>
  <c r="S30" i="26"/>
  <c r="AE30" i="26"/>
  <c r="S31" i="26"/>
  <c r="AE31" i="26"/>
  <c r="S32" i="26"/>
  <c r="AE32" i="26"/>
  <c r="H33" i="26"/>
  <c r="K33" i="26"/>
  <c r="N33" i="26"/>
  <c r="AE33" i="26"/>
  <c r="G34" i="26"/>
  <c r="H34" i="26"/>
  <c r="I34" i="26"/>
  <c r="J34" i="26"/>
  <c r="S34" i="26"/>
  <c r="K34" i="26"/>
  <c r="L34" i="26"/>
  <c r="M34" i="26"/>
  <c r="N34" i="26"/>
  <c r="O34" i="26"/>
  <c r="P34" i="26"/>
  <c r="Q34" i="26"/>
  <c r="R34" i="26"/>
  <c r="AE34" i="26"/>
  <c r="Q35" i="26"/>
  <c r="S35" i="26"/>
  <c r="AE35" i="26"/>
  <c r="S36" i="26"/>
  <c r="AE36" i="26"/>
  <c r="N37" i="26"/>
  <c r="S37" i="26"/>
  <c r="AE37" i="26"/>
  <c r="S38" i="26"/>
  <c r="AE38" i="26"/>
  <c r="S39" i="26"/>
  <c r="AE39" i="26"/>
  <c r="S40" i="26"/>
  <c r="AE40" i="26"/>
  <c r="S41" i="26"/>
  <c r="AE41" i="26"/>
  <c r="S42" i="26"/>
  <c r="AE42" i="26"/>
  <c r="S43" i="26"/>
  <c r="AE43" i="26"/>
  <c r="S44" i="26"/>
  <c r="AE44" i="26"/>
  <c r="S45" i="26"/>
  <c r="AE45" i="26"/>
  <c r="S46" i="26"/>
  <c r="AE46" i="26"/>
  <c r="K47" i="26"/>
  <c r="S47" i="26"/>
  <c r="AE47" i="26"/>
  <c r="S48" i="26"/>
  <c r="AE48" i="26"/>
  <c r="K49" i="26"/>
  <c r="S49" i="26"/>
  <c r="AE49" i="26"/>
  <c r="P50" i="26"/>
  <c r="S50" i="26"/>
  <c r="AE50" i="26"/>
  <c r="S51" i="26"/>
  <c r="AE51" i="26"/>
  <c r="P52" i="26"/>
  <c r="S52" i="26"/>
  <c r="AE52" i="26"/>
  <c r="K53" i="26"/>
  <c r="S53" i="26"/>
  <c r="P53" i="26"/>
  <c r="AE53" i="26"/>
  <c r="S54" i="26"/>
  <c r="AE54" i="26"/>
  <c r="S55" i="26"/>
  <c r="AE55" i="26"/>
  <c r="S56" i="26"/>
  <c r="AE56" i="26"/>
  <c r="S57" i="26"/>
  <c r="AE57" i="26"/>
  <c r="P58" i="26"/>
  <c r="S58" i="26"/>
  <c r="AE58" i="26"/>
  <c r="S59" i="26"/>
  <c r="AE59" i="26"/>
  <c r="S60" i="26"/>
  <c r="AE60" i="26"/>
  <c r="S61" i="26"/>
  <c r="AE61" i="26"/>
  <c r="S62" i="26"/>
  <c r="AE62" i="26"/>
  <c r="S63" i="26"/>
  <c r="AE63" i="26"/>
  <c r="S64" i="26"/>
  <c r="AE64" i="26"/>
  <c r="S65" i="26"/>
  <c r="AE65" i="26"/>
  <c r="K66" i="26"/>
  <c r="Q66" i="26"/>
  <c r="AE66" i="26"/>
  <c r="S67" i="26"/>
  <c r="AE67" i="26"/>
  <c r="S68" i="26"/>
  <c r="AE68" i="26"/>
  <c r="S69" i="26"/>
  <c r="AE69" i="26"/>
  <c r="S70" i="26"/>
  <c r="AE70" i="26"/>
  <c r="S71" i="26"/>
  <c r="AE71" i="26"/>
  <c r="S72" i="26"/>
  <c r="AE72" i="26"/>
  <c r="S73" i="26"/>
  <c r="AE73" i="26"/>
  <c r="S74" i="26"/>
  <c r="AE74" i="26"/>
  <c r="S75" i="26"/>
  <c r="AE75" i="26"/>
  <c r="S76" i="26"/>
  <c r="AE76" i="26"/>
  <c r="S77" i="26"/>
  <c r="AE77" i="26"/>
  <c r="S78" i="26"/>
  <c r="AE78" i="26"/>
  <c r="S79" i="26"/>
  <c r="AE79" i="26"/>
  <c r="S80" i="26"/>
  <c r="AE80" i="26"/>
  <c r="S81" i="26"/>
  <c r="AE81" i="26"/>
  <c r="S82" i="26"/>
  <c r="AE82" i="26"/>
  <c r="S83" i="26"/>
  <c r="AE83" i="26"/>
  <c r="S84" i="26"/>
  <c r="AE84" i="26"/>
  <c r="S85" i="26"/>
  <c r="AE85" i="26"/>
  <c r="J86" i="26"/>
  <c r="S86" i="26"/>
  <c r="AE86" i="26"/>
  <c r="L87" i="26"/>
  <c r="S87" i="26"/>
  <c r="N87" i="26"/>
  <c r="Q87" i="26"/>
  <c r="AE87" i="26"/>
  <c r="S88" i="26"/>
  <c r="AE88" i="26"/>
  <c r="S89" i="26"/>
  <c r="AE89" i="26"/>
  <c r="S90" i="26"/>
  <c r="AE90" i="26"/>
  <c r="S91" i="26"/>
  <c r="AE91" i="26"/>
  <c r="S92" i="26"/>
  <c r="AE92" i="26"/>
  <c r="I93" i="26"/>
  <c r="S93" i="26"/>
  <c r="N93" i="26"/>
  <c r="AE93" i="26"/>
  <c r="S94" i="26"/>
  <c r="AE94" i="26"/>
  <c r="S95" i="26"/>
  <c r="AE95" i="26"/>
  <c r="S96" i="26"/>
  <c r="AE96" i="26"/>
  <c r="P97" i="26"/>
  <c r="S97" i="26"/>
  <c r="AE97" i="26"/>
  <c r="S98" i="26"/>
  <c r="AE98" i="26"/>
  <c r="S99" i="26"/>
  <c r="AE99" i="26"/>
  <c r="S100" i="26"/>
  <c r="AE100" i="26"/>
  <c r="G101" i="26"/>
  <c r="H101" i="26"/>
  <c r="I101" i="26"/>
  <c r="J101" i="26"/>
  <c r="K101" i="26"/>
  <c r="L101" i="26"/>
  <c r="M101" i="26"/>
  <c r="N101" i="26"/>
  <c r="O101" i="26"/>
  <c r="P101" i="26"/>
  <c r="Q101" i="26"/>
  <c r="R101" i="26"/>
  <c r="AE101" i="26"/>
  <c r="S102" i="26"/>
  <c r="AE102" i="26"/>
  <c r="L103" i="26"/>
  <c r="S103" i="26"/>
  <c r="AE103" i="26"/>
  <c r="S104" i="26"/>
  <c r="AE104" i="26"/>
  <c r="S105" i="26"/>
  <c r="AE105" i="26"/>
  <c r="S106" i="26"/>
  <c r="AE106" i="26"/>
  <c r="S107" i="26"/>
  <c r="AE107" i="26"/>
  <c r="S108" i="26"/>
  <c r="AE108" i="26"/>
  <c r="I109" i="26"/>
  <c r="S109" i="26"/>
  <c r="J109" i="26"/>
  <c r="N109" i="26"/>
  <c r="AE109" i="26"/>
  <c r="S110" i="26"/>
  <c r="AE110" i="26"/>
  <c r="S111" i="26"/>
  <c r="AE111" i="26"/>
  <c r="K112" i="26"/>
  <c r="S112" i="26"/>
  <c r="P112" i="26"/>
  <c r="AE112" i="26"/>
  <c r="G113" i="26"/>
  <c r="K113" i="26"/>
  <c r="L113" i="26"/>
  <c r="M113" i="26"/>
  <c r="N113" i="26"/>
  <c r="O113" i="26"/>
  <c r="P113" i="26"/>
  <c r="Q113" i="26"/>
  <c r="R113" i="26"/>
  <c r="AE113" i="26"/>
  <c r="S114" i="26"/>
  <c r="AE114" i="26"/>
  <c r="S115" i="26"/>
  <c r="AE115" i="26"/>
  <c r="S116" i="26"/>
  <c r="AE116" i="26"/>
  <c r="S117" i="26"/>
  <c r="AE117" i="26"/>
  <c r="S118" i="26"/>
  <c r="AE118" i="26"/>
  <c r="S119" i="26"/>
  <c r="AE119" i="26"/>
  <c r="S120" i="26"/>
  <c r="AE120" i="26"/>
  <c r="S121" i="26"/>
  <c r="AE121" i="26"/>
  <c r="S122" i="26"/>
  <c r="AE122" i="26"/>
  <c r="S123" i="26"/>
  <c r="AE123" i="26"/>
  <c r="S124" i="26"/>
  <c r="AE124" i="26"/>
  <c r="S125" i="26"/>
  <c r="AE125" i="26"/>
  <c r="S126" i="26"/>
  <c r="AE126" i="26"/>
  <c r="S127" i="26"/>
  <c r="AE127" i="26"/>
  <c r="S128" i="26"/>
  <c r="AE128" i="26"/>
  <c r="S129" i="26"/>
  <c r="AE129" i="26"/>
  <c r="S130" i="26"/>
  <c r="AE130" i="26"/>
  <c r="S131" i="26"/>
  <c r="AE131" i="26"/>
  <c r="S132" i="26"/>
  <c r="AE132" i="26"/>
  <c r="S133" i="26"/>
  <c r="AE133" i="26"/>
  <c r="S134" i="26"/>
  <c r="AE134" i="26"/>
  <c r="S135" i="26"/>
  <c r="AE135" i="26"/>
  <c r="S136" i="26"/>
  <c r="AE136" i="26"/>
  <c r="S137" i="26"/>
  <c r="AE137" i="26"/>
  <c r="S138" i="26"/>
  <c r="AE138" i="26"/>
  <c r="S139" i="26"/>
  <c r="AE139" i="26"/>
  <c r="S140" i="26"/>
  <c r="AE140" i="26"/>
  <c r="S141" i="26"/>
  <c r="AE141" i="26"/>
  <c r="S142" i="26"/>
  <c r="AE142" i="26"/>
  <c r="S143" i="26"/>
  <c r="AE143" i="26"/>
  <c r="S144" i="26"/>
  <c r="AE144" i="26"/>
  <c r="S145" i="26"/>
  <c r="AE145" i="26"/>
  <c r="S146" i="26"/>
  <c r="AE146" i="26"/>
  <c r="S147" i="26"/>
  <c r="AE147" i="26"/>
  <c r="S148" i="26"/>
  <c r="AE148" i="26"/>
  <c r="S149" i="26"/>
  <c r="AE149" i="26"/>
  <c r="S150" i="26"/>
  <c r="AE150" i="26"/>
  <c r="S151" i="26"/>
  <c r="AE151" i="26"/>
  <c r="S152" i="26"/>
  <c r="AE152" i="26"/>
  <c r="S153" i="26"/>
  <c r="AE153" i="26"/>
  <c r="S154" i="26"/>
  <c r="AE154" i="26"/>
  <c r="S155" i="26"/>
  <c r="AE155" i="26"/>
  <c r="S156" i="26"/>
  <c r="AE156" i="26"/>
  <c r="S157" i="26"/>
  <c r="AE157" i="26"/>
  <c r="S158" i="26"/>
  <c r="AE158" i="26"/>
  <c r="S159" i="26"/>
  <c r="AE159" i="26"/>
  <c r="S160" i="26"/>
  <c r="AE160" i="26"/>
  <c r="S161" i="26"/>
  <c r="AE161" i="26"/>
  <c r="S162" i="26"/>
  <c r="AE162" i="26"/>
  <c r="S163" i="26"/>
  <c r="AE163" i="26"/>
  <c r="S164" i="26"/>
  <c r="AE164" i="26"/>
  <c r="S165" i="26"/>
  <c r="AE165" i="26"/>
  <c r="S166" i="26"/>
  <c r="AE166" i="26"/>
  <c r="S167" i="26"/>
  <c r="AE167" i="26"/>
  <c r="S168" i="26"/>
  <c r="AE168" i="26"/>
  <c r="S169" i="26"/>
  <c r="AE169" i="26"/>
  <c r="S170" i="26"/>
  <c r="AE170" i="26"/>
  <c r="S171" i="26"/>
  <c r="AE171" i="26"/>
  <c r="S172" i="26"/>
  <c r="AE172" i="26"/>
  <c r="S173" i="26"/>
  <c r="AE173" i="26"/>
  <c r="S174" i="26"/>
  <c r="AE174" i="26"/>
  <c r="S175" i="26"/>
  <c r="AE175" i="26"/>
  <c r="S176" i="26"/>
  <c r="AE176" i="26"/>
  <c r="S177" i="26"/>
  <c r="AE177" i="26"/>
  <c r="S178" i="26"/>
  <c r="AE178" i="26"/>
  <c r="S179" i="26"/>
  <c r="AE179" i="26"/>
  <c r="S180" i="26"/>
  <c r="AE180" i="26"/>
  <c r="S181" i="26"/>
  <c r="AE181" i="26"/>
  <c r="S182" i="26"/>
  <c r="AE182" i="26"/>
  <c r="S183" i="26"/>
  <c r="AE183" i="26"/>
  <c r="Q184" i="26"/>
  <c r="S184" i="26"/>
  <c r="AE184" i="26"/>
  <c r="S185" i="26"/>
  <c r="AE185" i="26"/>
  <c r="S186" i="26"/>
  <c r="AE186" i="26"/>
  <c r="S187" i="26"/>
  <c r="AE187" i="26"/>
  <c r="S188" i="26"/>
  <c r="AE188" i="26"/>
  <c r="S189" i="26"/>
  <c r="AE189" i="26"/>
  <c r="S190" i="26"/>
  <c r="AE190" i="26"/>
  <c r="I191" i="26"/>
  <c r="M191" i="26"/>
  <c r="S191" i="26"/>
  <c r="AE191" i="26"/>
  <c r="Q192" i="26"/>
  <c r="S192" i="26"/>
  <c r="AE192" i="26"/>
  <c r="S193" i="26"/>
  <c r="AE193" i="26"/>
  <c r="S194" i="26"/>
  <c r="AE194" i="26"/>
  <c r="S195" i="26"/>
  <c r="AE195" i="26"/>
  <c r="P196" i="26"/>
  <c r="Q196" i="26"/>
  <c r="S196" i="26"/>
  <c r="AE196" i="26"/>
  <c r="S197" i="26"/>
  <c r="AE197" i="26"/>
  <c r="S198" i="26"/>
  <c r="AE198" i="26"/>
  <c r="O199" i="26"/>
  <c r="S199" i="26"/>
  <c r="AE199" i="26"/>
  <c r="S200" i="26"/>
  <c r="AE200" i="26"/>
  <c r="S201" i="26"/>
  <c r="AE201" i="26"/>
  <c r="S202" i="26"/>
  <c r="AE202" i="26"/>
  <c r="S203" i="26"/>
  <c r="AE203" i="26"/>
  <c r="P204" i="26"/>
  <c r="S204" i="26"/>
  <c r="AE204" i="26"/>
  <c r="S205" i="26"/>
  <c r="AE205" i="26"/>
  <c r="S206" i="26"/>
  <c r="AE206" i="26"/>
  <c r="S207" i="26"/>
  <c r="AE207" i="26"/>
  <c r="S208" i="26"/>
  <c r="AE208" i="26"/>
  <c r="S209" i="26"/>
  <c r="AE209" i="26"/>
  <c r="S210" i="26"/>
  <c r="AE210" i="26"/>
  <c r="S211" i="26"/>
  <c r="AE211" i="26"/>
  <c r="S212" i="26"/>
  <c r="AE212" i="26"/>
  <c r="S213" i="26"/>
  <c r="AE213" i="26"/>
  <c r="S214" i="26"/>
  <c r="AE214" i="26"/>
  <c r="S215" i="26"/>
  <c r="AE215" i="26"/>
  <c r="S216" i="26"/>
  <c r="AE216" i="26"/>
  <c r="S217" i="26"/>
  <c r="AE217" i="26"/>
  <c r="S218" i="26"/>
  <c r="AE218" i="26"/>
  <c r="S219" i="26"/>
  <c r="AE219" i="26"/>
  <c r="S220" i="26"/>
  <c r="AE220" i="26"/>
  <c r="S221" i="26"/>
  <c r="AE221" i="26"/>
  <c r="S222" i="26"/>
  <c r="AE222" i="26"/>
  <c r="S223" i="26"/>
  <c r="AE223" i="26"/>
  <c r="S224" i="26"/>
  <c r="AE224" i="26"/>
  <c r="S225" i="26"/>
  <c r="S226" i="26"/>
  <c r="S227" i="26"/>
  <c r="S228" i="26"/>
  <c r="S229" i="26"/>
  <c r="AE229" i="26"/>
  <c r="S230" i="26"/>
  <c r="AE230" i="26"/>
  <c r="S231" i="26"/>
  <c r="AE231" i="26"/>
  <c r="S232" i="26"/>
  <c r="AE232" i="26"/>
  <c r="S233" i="26"/>
  <c r="AE233" i="26"/>
  <c r="S234" i="26"/>
  <c r="AE234" i="26"/>
  <c r="S235" i="26"/>
  <c r="AE235" i="26"/>
  <c r="S236" i="26"/>
  <c r="AE236" i="26"/>
  <c r="S237" i="26"/>
  <c r="AE237" i="26"/>
  <c r="S238" i="26"/>
  <c r="AE238" i="26"/>
  <c r="S239" i="26"/>
  <c r="AE239" i="26"/>
  <c r="S240" i="26"/>
  <c r="AE240" i="26"/>
  <c r="S241" i="26"/>
  <c r="AE241" i="26"/>
  <c r="S242" i="26"/>
  <c r="AE242" i="26"/>
  <c r="S243" i="26"/>
  <c r="AE243" i="26"/>
  <c r="S244" i="26"/>
  <c r="AE244" i="26"/>
  <c r="S245" i="26"/>
  <c r="AE245" i="26"/>
  <c r="S246" i="26"/>
  <c r="AE246" i="26"/>
  <c r="S247" i="26"/>
  <c r="AE247" i="26"/>
  <c r="AE3" i="25"/>
  <c r="L6" i="25"/>
  <c r="S6" i="25"/>
  <c r="AE6" i="25"/>
  <c r="S7" i="25"/>
  <c r="AE7" i="25"/>
  <c r="S8" i="25"/>
  <c r="AE8" i="25"/>
  <c r="H9" i="25"/>
  <c r="S9" i="25"/>
  <c r="AE9" i="25"/>
  <c r="S10" i="25"/>
  <c r="AE10" i="25"/>
  <c r="S11" i="25"/>
  <c r="AE11" i="25"/>
  <c r="H12" i="25"/>
  <c r="N12" i="25"/>
  <c r="S12" i="25"/>
  <c r="AE12" i="25"/>
  <c r="S13" i="25"/>
  <c r="AE13" i="25"/>
  <c r="S14" i="25"/>
  <c r="AE14" i="25"/>
  <c r="S15" i="25"/>
  <c r="AE15" i="25"/>
  <c r="S16" i="25"/>
  <c r="AE16" i="25"/>
  <c r="I17" i="25"/>
  <c r="L17" i="25"/>
  <c r="S17" i="25"/>
  <c r="N17" i="25"/>
  <c r="P17" i="25"/>
  <c r="AE17" i="25"/>
  <c r="G18" i="25"/>
  <c r="S18" i="25"/>
  <c r="AE18" i="25"/>
  <c r="S19" i="25"/>
  <c r="AE19" i="25"/>
  <c r="G20" i="25"/>
  <c r="K20" i="25"/>
  <c r="N20" i="25"/>
  <c r="S20" i="25"/>
  <c r="R20" i="25"/>
  <c r="AE20" i="25"/>
  <c r="I21" i="25"/>
  <c r="S21" i="25"/>
  <c r="K21" i="25"/>
  <c r="M21" i="25"/>
  <c r="N21" i="25"/>
  <c r="AE21" i="25"/>
  <c r="J22" i="25"/>
  <c r="S22" i="25"/>
  <c r="AE22" i="25"/>
  <c r="I23" i="25"/>
  <c r="J23" i="25"/>
  <c r="L23" i="25"/>
  <c r="N23" i="25"/>
  <c r="R23" i="25"/>
  <c r="AE23" i="25"/>
  <c r="G24" i="25"/>
  <c r="I24" i="25"/>
  <c r="K24" i="25"/>
  <c r="M24" i="25"/>
  <c r="N24" i="25"/>
  <c r="R24" i="25"/>
  <c r="AE24" i="25"/>
  <c r="S25" i="25"/>
  <c r="AE25" i="25"/>
  <c r="S26" i="25"/>
  <c r="AE26" i="25"/>
  <c r="Q27" i="25"/>
  <c r="S27" i="25"/>
  <c r="AE27" i="25"/>
  <c r="H28" i="25"/>
  <c r="S28" i="25"/>
  <c r="P28" i="25"/>
  <c r="R28" i="25"/>
  <c r="AE28" i="25"/>
  <c r="S29" i="25"/>
  <c r="AE29" i="25"/>
  <c r="G30" i="25"/>
  <c r="H30" i="25"/>
  <c r="I30" i="25"/>
  <c r="J30" i="25"/>
  <c r="L30" i="25"/>
  <c r="M30" i="25"/>
  <c r="N30" i="25"/>
  <c r="O30" i="25"/>
  <c r="P30" i="25"/>
  <c r="Q30" i="25"/>
  <c r="R30" i="25"/>
  <c r="AE30" i="25"/>
  <c r="S31" i="25"/>
  <c r="AE31" i="25"/>
  <c r="S32" i="25"/>
  <c r="AE32" i="25"/>
  <c r="I33" i="25"/>
  <c r="L33" i="25"/>
  <c r="S33" i="25"/>
  <c r="N33" i="25"/>
  <c r="P33" i="25"/>
  <c r="AE33" i="25"/>
  <c r="M34" i="25"/>
  <c r="S34" i="25"/>
  <c r="P34" i="25"/>
  <c r="AE34" i="25"/>
  <c r="S35" i="25"/>
  <c r="AE35" i="25"/>
  <c r="S36" i="25"/>
  <c r="AE36" i="25"/>
  <c r="S37" i="25"/>
  <c r="AE37" i="25"/>
  <c r="S38" i="25"/>
  <c r="AE38" i="25"/>
  <c r="S39" i="25"/>
  <c r="AE39" i="25"/>
  <c r="S40" i="25"/>
  <c r="AE40" i="25"/>
  <c r="G41" i="25"/>
  <c r="S41" i="25"/>
  <c r="K41" i="25"/>
  <c r="R41" i="25"/>
  <c r="AE41" i="25"/>
  <c r="R42" i="25"/>
  <c r="S42" i="25"/>
  <c r="AE42" i="25"/>
  <c r="I43" i="25"/>
  <c r="J43" i="25"/>
  <c r="K43" i="25"/>
  <c r="L43" i="25"/>
  <c r="N43" i="25"/>
  <c r="O43" i="25"/>
  <c r="R43" i="25"/>
  <c r="AE43" i="25"/>
  <c r="S44" i="25"/>
  <c r="AE44" i="25"/>
  <c r="I45" i="25"/>
  <c r="S45" i="25"/>
  <c r="AE45" i="25"/>
  <c r="S46" i="25"/>
  <c r="AE46" i="25"/>
  <c r="S47" i="25"/>
  <c r="AE47" i="25"/>
  <c r="G48" i="25"/>
  <c r="H48" i="25"/>
  <c r="I48" i="25"/>
  <c r="R48" i="25"/>
  <c r="AE48" i="25"/>
  <c r="S49" i="25"/>
  <c r="AE49" i="25"/>
  <c r="R50" i="25"/>
  <c r="S50" i="25"/>
  <c r="AE50" i="25"/>
  <c r="S51" i="25"/>
  <c r="AE51" i="25"/>
  <c r="G52" i="25"/>
  <c r="S52" i="25"/>
  <c r="N52" i="25"/>
  <c r="AE52" i="25"/>
  <c r="G53" i="25"/>
  <c r="S53" i="25"/>
  <c r="L53" i="25"/>
  <c r="AE53" i="25"/>
  <c r="S54" i="25"/>
  <c r="AE54" i="25"/>
  <c r="I55" i="25"/>
  <c r="J55" i="25"/>
  <c r="S55" i="25"/>
  <c r="AE55" i="25"/>
  <c r="G56" i="25"/>
  <c r="Q56" i="25"/>
  <c r="S56" i="25"/>
  <c r="AE56" i="25"/>
  <c r="G57" i="25"/>
  <c r="H57" i="25"/>
  <c r="I57" i="25"/>
  <c r="J57" i="25"/>
  <c r="S57" i="25"/>
  <c r="K57" i="25"/>
  <c r="L57" i="25"/>
  <c r="M57" i="25"/>
  <c r="N57" i="25"/>
  <c r="O57" i="25"/>
  <c r="P57" i="25"/>
  <c r="Q57" i="25"/>
  <c r="R57" i="25"/>
  <c r="AE57" i="25"/>
  <c r="S58" i="25"/>
  <c r="AE58" i="25"/>
  <c r="S59" i="25"/>
  <c r="AE59" i="25"/>
  <c r="S60" i="25"/>
  <c r="AE60" i="25"/>
  <c r="S61" i="25"/>
  <c r="AE61" i="25"/>
  <c r="K62" i="25"/>
  <c r="S62" i="25"/>
  <c r="AE62" i="25"/>
  <c r="S63" i="25"/>
  <c r="AE63" i="25"/>
  <c r="S64" i="25"/>
  <c r="AE64" i="25"/>
  <c r="S65" i="25"/>
  <c r="AE65" i="25"/>
  <c r="S66" i="25"/>
  <c r="AE66" i="25"/>
  <c r="S67" i="25"/>
  <c r="AE67" i="25"/>
  <c r="S68" i="25"/>
  <c r="AE68" i="25"/>
  <c r="S69" i="25"/>
  <c r="AE69" i="25"/>
  <c r="S70" i="25"/>
  <c r="AE70" i="25"/>
  <c r="S71" i="25"/>
  <c r="AE71" i="25"/>
  <c r="S72" i="25"/>
  <c r="AE72" i="25"/>
  <c r="S73" i="25"/>
  <c r="AE73" i="25"/>
  <c r="R74" i="25"/>
  <c r="S74" i="25"/>
  <c r="AE74" i="25"/>
  <c r="S75" i="25"/>
  <c r="AE75" i="25"/>
  <c r="S76" i="25"/>
  <c r="AE76" i="25"/>
  <c r="S77" i="25"/>
  <c r="AE77" i="25"/>
  <c r="S78" i="25"/>
  <c r="AE78" i="25"/>
  <c r="S79" i="25"/>
  <c r="AE79" i="25"/>
  <c r="S80" i="25"/>
  <c r="AE80" i="25"/>
  <c r="S81" i="25"/>
  <c r="AE81" i="25"/>
  <c r="S82" i="25"/>
  <c r="AE82" i="25"/>
  <c r="S83" i="25"/>
  <c r="AE83" i="25"/>
  <c r="S84" i="25"/>
  <c r="AE84" i="25"/>
  <c r="S85" i="25"/>
  <c r="AE85" i="25"/>
  <c r="S86" i="25"/>
  <c r="AE86" i="25"/>
  <c r="S87" i="25"/>
  <c r="AE87" i="25"/>
  <c r="S88" i="25"/>
  <c r="AE88" i="25"/>
  <c r="S89" i="25"/>
  <c r="AE89" i="25"/>
  <c r="S90" i="25"/>
  <c r="AE90" i="25"/>
  <c r="S91" i="25"/>
  <c r="AE91" i="25"/>
  <c r="S92" i="25"/>
  <c r="AE92" i="25"/>
  <c r="S93" i="25"/>
  <c r="AE93" i="25"/>
  <c r="S94" i="25"/>
  <c r="AE94" i="25"/>
  <c r="S95" i="25"/>
  <c r="AE95" i="25"/>
  <c r="J96" i="25"/>
  <c r="S96" i="25"/>
  <c r="AE96" i="25"/>
  <c r="S97" i="25"/>
  <c r="AE97" i="25"/>
  <c r="S98" i="25"/>
  <c r="AE98" i="25"/>
  <c r="S99" i="25"/>
  <c r="AE99" i="25"/>
  <c r="S100" i="25"/>
  <c r="AE100" i="25"/>
  <c r="S101" i="25"/>
  <c r="AE101" i="25"/>
  <c r="S102" i="25"/>
  <c r="AE102" i="25"/>
  <c r="S103" i="25"/>
  <c r="AE103" i="25"/>
  <c r="S104" i="25"/>
  <c r="AE104" i="25"/>
  <c r="S105" i="25"/>
  <c r="AE105" i="25"/>
  <c r="S106" i="25"/>
  <c r="AE106" i="25"/>
  <c r="S107" i="25"/>
  <c r="AE107" i="25"/>
  <c r="S108" i="25"/>
  <c r="AE108" i="25"/>
  <c r="S109" i="25"/>
  <c r="AE109" i="25"/>
  <c r="S110" i="25"/>
  <c r="AE110" i="25"/>
  <c r="Q111" i="25"/>
  <c r="S111" i="25"/>
  <c r="AE111" i="25"/>
  <c r="S112" i="25"/>
  <c r="AE112" i="25"/>
  <c r="S113" i="25"/>
  <c r="AE113" i="25"/>
  <c r="S114" i="25"/>
  <c r="AE114" i="25"/>
  <c r="S115" i="25"/>
  <c r="AE115" i="25"/>
  <c r="S116" i="25"/>
  <c r="AE116" i="25"/>
  <c r="S117" i="25"/>
  <c r="AE117" i="25"/>
  <c r="S118" i="25"/>
  <c r="AE118" i="25"/>
  <c r="S119" i="25"/>
  <c r="AE119" i="25"/>
  <c r="S120" i="25"/>
  <c r="AE120" i="25"/>
  <c r="S121" i="25"/>
  <c r="AE121" i="25"/>
  <c r="S122" i="25"/>
  <c r="AE122" i="25"/>
  <c r="S123" i="25"/>
  <c r="AE123" i="25"/>
  <c r="S124" i="25"/>
  <c r="AE124" i="25"/>
  <c r="S125" i="25"/>
  <c r="AE125" i="25"/>
  <c r="K126" i="25"/>
  <c r="Q126" i="25"/>
  <c r="AE126" i="25"/>
  <c r="S127" i="25"/>
  <c r="AE127" i="25"/>
  <c r="S128" i="25"/>
  <c r="AE128" i="25"/>
  <c r="S129" i="25"/>
  <c r="AE129" i="25"/>
  <c r="S130" i="25"/>
  <c r="AE130" i="25"/>
  <c r="S131" i="25"/>
  <c r="AE131" i="25"/>
  <c r="S132" i="25"/>
  <c r="AE132" i="25"/>
  <c r="S133" i="25"/>
  <c r="AE133" i="25"/>
  <c r="M134" i="25"/>
  <c r="S134" i="25"/>
  <c r="AE134" i="25"/>
  <c r="S135" i="25"/>
  <c r="AE135" i="25"/>
  <c r="S136" i="25"/>
  <c r="AE136" i="25"/>
  <c r="S137" i="25"/>
  <c r="AE137" i="25"/>
  <c r="S138" i="25"/>
  <c r="AE138" i="25"/>
  <c r="S139" i="25"/>
  <c r="AE139" i="25"/>
  <c r="S140" i="25"/>
  <c r="AE140" i="25"/>
  <c r="S141" i="25"/>
  <c r="AE141" i="25"/>
  <c r="P142" i="25"/>
  <c r="S142" i="25"/>
  <c r="AE142" i="25"/>
  <c r="S143" i="25"/>
  <c r="AE143" i="25"/>
  <c r="S144" i="25"/>
  <c r="AE144" i="25"/>
  <c r="S145" i="25"/>
  <c r="AE145" i="25"/>
  <c r="S146" i="25"/>
  <c r="AE146" i="25"/>
  <c r="S147" i="25"/>
  <c r="AE147" i="25"/>
  <c r="S148" i="25"/>
  <c r="AE148" i="25"/>
  <c r="S149" i="25"/>
  <c r="AE149" i="25"/>
  <c r="S150" i="25"/>
  <c r="AE150" i="25"/>
  <c r="S151" i="25"/>
  <c r="AE151" i="25"/>
  <c r="S152" i="25"/>
  <c r="AE152" i="25"/>
  <c r="S153" i="25"/>
  <c r="AE153" i="25"/>
  <c r="S154" i="25"/>
  <c r="AE154" i="25"/>
  <c r="S155" i="25"/>
  <c r="AE155" i="25"/>
  <c r="S156" i="25"/>
  <c r="AE156" i="25"/>
  <c r="S157" i="25"/>
  <c r="AE157" i="25"/>
  <c r="S158" i="25"/>
  <c r="AE158" i="25"/>
  <c r="S159" i="25"/>
  <c r="AE159" i="25"/>
  <c r="S160" i="25"/>
  <c r="AE160" i="25"/>
  <c r="S161" i="25"/>
  <c r="AE161" i="25"/>
  <c r="S162" i="25"/>
  <c r="AE162" i="25"/>
  <c r="S163" i="25"/>
  <c r="AE163" i="25"/>
  <c r="S164" i="25"/>
  <c r="AE164" i="25"/>
  <c r="S165" i="25"/>
  <c r="AE165" i="25"/>
  <c r="AE3" i="24"/>
  <c r="T149" i="24" s="1"/>
  <c r="K6" i="24"/>
  <c r="S6" i="24"/>
  <c r="Q6" i="24"/>
  <c r="AE6" i="24"/>
  <c r="I7" i="24"/>
  <c r="S7" i="24"/>
  <c r="AE7" i="24"/>
  <c r="S8" i="24"/>
  <c r="AE8" i="24"/>
  <c r="S9" i="24"/>
  <c r="AE9" i="24"/>
  <c r="S10" i="24"/>
  <c r="AE10" i="24"/>
  <c r="S11" i="24"/>
  <c r="AE11" i="24"/>
  <c r="H12" i="24"/>
  <c r="S12" i="24"/>
  <c r="AE12" i="24"/>
  <c r="S13" i="24"/>
  <c r="AE13" i="24"/>
  <c r="G14" i="24"/>
  <c r="H14" i="24"/>
  <c r="I14" i="24"/>
  <c r="J14" i="24"/>
  <c r="K14" i="24"/>
  <c r="L14" i="24"/>
  <c r="M14" i="24"/>
  <c r="P14" i="24"/>
  <c r="R14" i="24"/>
  <c r="AE14" i="24"/>
  <c r="S15" i="24"/>
  <c r="AE15" i="24"/>
  <c r="S16" i="24"/>
  <c r="AE16" i="24"/>
  <c r="S17" i="24"/>
  <c r="AE17" i="24"/>
  <c r="S18" i="24"/>
  <c r="AE18" i="24"/>
  <c r="K19" i="24"/>
  <c r="S19" i="24"/>
  <c r="AE19" i="24"/>
  <c r="S20" i="24"/>
  <c r="AE20" i="24"/>
  <c r="S21" i="24"/>
  <c r="AE21" i="24"/>
  <c r="G22" i="24"/>
  <c r="S22" i="24"/>
  <c r="AE22" i="24"/>
  <c r="S23" i="24"/>
  <c r="AE23" i="24"/>
  <c r="S24" i="24"/>
  <c r="AE24" i="24"/>
  <c r="S25" i="24"/>
  <c r="AE25" i="24"/>
  <c r="R26" i="24"/>
  <c r="S26" i="24"/>
  <c r="AE26" i="24"/>
  <c r="S27" i="24"/>
  <c r="AE27" i="24"/>
  <c r="S28" i="24"/>
  <c r="AE28" i="24"/>
  <c r="G29" i="24"/>
  <c r="S29" i="24"/>
  <c r="AE29" i="24"/>
  <c r="S30" i="24"/>
  <c r="AE30" i="24"/>
  <c r="S31" i="24"/>
  <c r="AE31" i="24"/>
  <c r="S32" i="24"/>
  <c r="AE32" i="24"/>
  <c r="S33" i="24"/>
  <c r="AE33" i="24"/>
  <c r="Q34" i="24"/>
  <c r="S34" i="24"/>
  <c r="AE34" i="24"/>
  <c r="H35" i="24"/>
  <c r="J35" i="24"/>
  <c r="O35" i="24"/>
  <c r="S35" i="24"/>
  <c r="AE35" i="24"/>
  <c r="S36" i="24"/>
  <c r="AE36" i="24"/>
  <c r="L37" i="24"/>
  <c r="S37" i="24"/>
  <c r="AE37" i="24"/>
  <c r="P38" i="24"/>
  <c r="S38" i="24"/>
  <c r="AE38" i="24"/>
  <c r="H39" i="24"/>
  <c r="I39" i="24"/>
  <c r="S39" i="24"/>
  <c r="AE39" i="24"/>
  <c r="G40" i="24"/>
  <c r="R40" i="24"/>
  <c r="S40" i="24"/>
  <c r="AE40" i="24"/>
  <c r="S41" i="24"/>
  <c r="AE41" i="24"/>
  <c r="S42" i="24"/>
  <c r="AE42" i="24"/>
  <c r="S43" i="24"/>
  <c r="AE43" i="24"/>
  <c r="S44" i="24"/>
  <c r="AE44" i="24"/>
  <c r="G45" i="24"/>
  <c r="H45" i="24"/>
  <c r="I45" i="24"/>
  <c r="J45" i="24"/>
  <c r="K45" i="24"/>
  <c r="L45" i="24"/>
  <c r="M45" i="24"/>
  <c r="N45" i="24"/>
  <c r="O45" i="24"/>
  <c r="P45" i="24"/>
  <c r="Q45" i="24"/>
  <c r="R45" i="24"/>
  <c r="AE45" i="24"/>
  <c r="S46" i="24"/>
  <c r="AE46" i="24"/>
  <c r="S47" i="24"/>
  <c r="AE47" i="24"/>
  <c r="S48" i="24"/>
  <c r="AE48" i="24"/>
  <c r="S49" i="24"/>
  <c r="AE49" i="24"/>
  <c r="P50" i="24"/>
  <c r="S50" i="24"/>
  <c r="AE50" i="24"/>
  <c r="S51" i="24"/>
  <c r="AE51" i="24"/>
  <c r="S52" i="24"/>
  <c r="AE52" i="24"/>
  <c r="Q53" i="24"/>
  <c r="R53" i="24"/>
  <c r="AE53" i="24"/>
  <c r="S54" i="24"/>
  <c r="AE54" i="24"/>
  <c r="S55" i="24"/>
  <c r="AE55" i="24"/>
  <c r="S56" i="24"/>
  <c r="AE56" i="24"/>
  <c r="S57" i="24"/>
  <c r="AE57" i="24"/>
  <c r="H58" i="24"/>
  <c r="S58" i="24"/>
  <c r="I58" i="24"/>
  <c r="N58" i="24"/>
  <c r="P58" i="24"/>
  <c r="AE58" i="24"/>
  <c r="S59" i="24"/>
  <c r="AE59" i="24"/>
  <c r="S60" i="24"/>
  <c r="AE60" i="24"/>
  <c r="S61" i="24"/>
  <c r="AE61" i="24"/>
  <c r="H62" i="24"/>
  <c r="S62" i="24"/>
  <c r="AE62" i="24"/>
  <c r="H63" i="24"/>
  <c r="S63" i="24"/>
  <c r="AE63" i="24"/>
  <c r="G64" i="24"/>
  <c r="H64" i="24"/>
  <c r="I64" i="24"/>
  <c r="J64" i="24"/>
  <c r="K64" i="24"/>
  <c r="L64" i="24"/>
  <c r="M64" i="24"/>
  <c r="N64" i="24"/>
  <c r="O64" i="24"/>
  <c r="P64" i="24"/>
  <c r="Q64" i="24"/>
  <c r="R64" i="24"/>
  <c r="AE64" i="24"/>
  <c r="S65" i="24"/>
  <c r="AE65" i="24"/>
  <c r="L66" i="24"/>
  <c r="S66" i="24"/>
  <c r="AE66" i="24"/>
  <c r="S67" i="24"/>
  <c r="AE67" i="24"/>
  <c r="F68" i="24"/>
  <c r="S68" i="24"/>
  <c r="AE68" i="24"/>
  <c r="S69" i="24"/>
  <c r="AE69" i="24"/>
  <c r="S70" i="24"/>
  <c r="AE70" i="24"/>
  <c r="Q71" i="24"/>
  <c r="S71" i="24"/>
  <c r="AE71" i="24"/>
  <c r="S72" i="24"/>
  <c r="AE72" i="24"/>
  <c r="S73" i="24"/>
  <c r="AE73" i="24"/>
  <c r="S74" i="24"/>
  <c r="AE74" i="24"/>
  <c r="S75" i="24"/>
  <c r="AE75" i="24"/>
  <c r="S76" i="24"/>
  <c r="AE76" i="24"/>
  <c r="S77" i="24"/>
  <c r="AE77" i="24"/>
  <c r="S78" i="24"/>
  <c r="AE78" i="24"/>
  <c r="S79" i="24"/>
  <c r="AE79" i="24"/>
  <c r="S80" i="24"/>
  <c r="AE80" i="24"/>
  <c r="S81" i="24"/>
  <c r="AE81" i="24"/>
  <c r="S82" i="24"/>
  <c r="AE82" i="24"/>
  <c r="S83" i="24"/>
  <c r="AE83" i="24"/>
  <c r="S84" i="24"/>
  <c r="AE84" i="24"/>
  <c r="S85" i="24"/>
  <c r="AE85" i="24"/>
  <c r="S86" i="24"/>
  <c r="AE86" i="24"/>
  <c r="S87" i="24"/>
  <c r="AE87" i="24"/>
  <c r="S88" i="24"/>
  <c r="AE88" i="24"/>
  <c r="S89" i="24"/>
  <c r="AE89" i="24"/>
  <c r="S90" i="24"/>
  <c r="AE90" i="24"/>
  <c r="S91" i="24"/>
  <c r="AE91" i="24"/>
  <c r="S92" i="24"/>
  <c r="AE92" i="24"/>
  <c r="S93" i="24"/>
  <c r="AE93" i="24"/>
  <c r="S94" i="24"/>
  <c r="AE94" i="24"/>
  <c r="S95" i="24"/>
  <c r="AE95" i="24"/>
  <c r="S96" i="24"/>
  <c r="AE96" i="24"/>
  <c r="S97" i="24"/>
  <c r="AE97" i="24"/>
  <c r="S98" i="24"/>
  <c r="AE98" i="24"/>
  <c r="S99" i="24"/>
  <c r="AE99" i="24"/>
  <c r="S100" i="24"/>
  <c r="AE100" i="24"/>
  <c r="S101" i="24"/>
  <c r="AE101" i="24"/>
  <c r="S102" i="24"/>
  <c r="AE102" i="24"/>
  <c r="S103" i="24"/>
  <c r="AE103" i="24"/>
  <c r="S104" i="24"/>
  <c r="AE104" i="24"/>
  <c r="S105" i="24"/>
  <c r="AE105" i="24"/>
  <c r="AE106" i="24"/>
  <c r="S107" i="24"/>
  <c r="AE107" i="24"/>
  <c r="S108" i="24"/>
  <c r="AE108" i="24"/>
  <c r="S109" i="24"/>
  <c r="AE109" i="24"/>
  <c r="S110" i="24"/>
  <c r="AE110" i="24"/>
  <c r="S111" i="24"/>
  <c r="AE111" i="24"/>
  <c r="S112" i="24"/>
  <c r="AE112" i="24"/>
  <c r="S113" i="24"/>
  <c r="AE113" i="24"/>
  <c r="S114" i="24"/>
  <c r="AE114" i="24"/>
  <c r="S115" i="24"/>
  <c r="AE115" i="24"/>
  <c r="S116" i="24"/>
  <c r="AE116" i="24"/>
  <c r="S117" i="24"/>
  <c r="AE117" i="24"/>
  <c r="S118" i="24"/>
  <c r="AE118" i="24"/>
  <c r="S119" i="24"/>
  <c r="AE119" i="24"/>
  <c r="S120" i="24"/>
  <c r="AE120" i="24"/>
  <c r="S121" i="24"/>
  <c r="AE121" i="24"/>
  <c r="S122" i="24"/>
  <c r="AE122" i="24"/>
  <c r="S123" i="24"/>
  <c r="AE123" i="24"/>
  <c r="S124" i="24"/>
  <c r="AE124" i="24"/>
  <c r="S125" i="24"/>
  <c r="AE125" i="24"/>
  <c r="S126" i="24"/>
  <c r="AE126" i="24"/>
  <c r="S127" i="24"/>
  <c r="AE127" i="24"/>
  <c r="S128" i="24"/>
  <c r="AE128" i="24"/>
  <c r="S129" i="24"/>
  <c r="AE129" i="24"/>
  <c r="S130" i="24"/>
  <c r="AE130" i="24"/>
  <c r="S131" i="24"/>
  <c r="AE131" i="24"/>
  <c r="S132" i="24"/>
  <c r="AE132" i="24"/>
  <c r="S133" i="24"/>
  <c r="AE133" i="24"/>
  <c r="S134" i="24"/>
  <c r="AE134" i="24"/>
  <c r="S135" i="24"/>
  <c r="AE135" i="24"/>
  <c r="S136" i="24"/>
  <c r="AE136" i="24"/>
  <c r="S137" i="24"/>
  <c r="AE137" i="24"/>
  <c r="S138" i="24"/>
  <c r="AE138" i="24"/>
  <c r="S139" i="24"/>
  <c r="AE139" i="24"/>
  <c r="S140" i="24"/>
  <c r="AE140" i="24"/>
  <c r="S141" i="24"/>
  <c r="AE141" i="24"/>
  <c r="S142" i="24"/>
  <c r="AE142" i="24"/>
  <c r="S143" i="24"/>
  <c r="AE143" i="24"/>
  <c r="S144" i="24"/>
  <c r="AE144" i="24"/>
  <c r="S145" i="24"/>
  <c r="AE145" i="24"/>
  <c r="S146" i="24"/>
  <c r="AE146" i="24"/>
  <c r="S147" i="24"/>
  <c r="AE147" i="24"/>
  <c r="S148" i="24"/>
  <c r="AE148" i="24"/>
  <c r="S149" i="24"/>
  <c r="AE149" i="24"/>
  <c r="S150" i="24"/>
  <c r="AE150" i="24"/>
  <c r="S151" i="24"/>
  <c r="AE151" i="24"/>
  <c r="S152" i="24"/>
  <c r="AE152" i="24"/>
  <c r="S153" i="24"/>
  <c r="AE153" i="24"/>
  <c r="S154" i="24"/>
  <c r="AE154" i="24"/>
  <c r="S155" i="24"/>
  <c r="AE155" i="24"/>
  <c r="S156" i="24"/>
  <c r="AE156" i="24"/>
  <c r="S157" i="24"/>
  <c r="AE157" i="24"/>
  <c r="S158" i="24"/>
  <c r="AE158" i="24"/>
  <c r="S159" i="24"/>
  <c r="AE159" i="24"/>
  <c r="S160" i="24"/>
  <c r="AE160" i="24"/>
  <c r="S161" i="24"/>
  <c r="AE161" i="24"/>
  <c r="S162" i="24"/>
  <c r="AE162" i="24"/>
  <c r="AE3" i="23"/>
  <c r="T13" i="23" s="1"/>
  <c r="S6" i="23"/>
  <c r="AE6" i="23"/>
  <c r="S7" i="23"/>
  <c r="AE7" i="23"/>
  <c r="O8" i="23"/>
  <c r="S8" i="23"/>
  <c r="AE8" i="23"/>
  <c r="S9" i="23"/>
  <c r="AE9" i="23"/>
  <c r="L10" i="23"/>
  <c r="S10" i="23"/>
  <c r="O10" i="23"/>
  <c r="R10" i="23"/>
  <c r="AE10" i="23"/>
  <c r="S11" i="23"/>
  <c r="AE11" i="23"/>
  <c r="H12" i="23"/>
  <c r="I12" i="23"/>
  <c r="S12" i="23"/>
  <c r="AE12" i="23"/>
  <c r="K13" i="23"/>
  <c r="S13" i="23"/>
  <c r="AE13" i="23"/>
  <c r="G14" i="23"/>
  <c r="H14" i="23"/>
  <c r="I14" i="23"/>
  <c r="J14" i="23"/>
  <c r="AE14" i="23"/>
  <c r="S15" i="23"/>
  <c r="AE15" i="23"/>
  <c r="S16" i="23"/>
  <c r="AE16" i="23"/>
  <c r="G17" i="23"/>
  <c r="H17" i="23"/>
  <c r="I17" i="23"/>
  <c r="J17" i="23"/>
  <c r="K17" i="23"/>
  <c r="L17" i="23"/>
  <c r="M17" i="23"/>
  <c r="N17" i="23"/>
  <c r="O17" i="23"/>
  <c r="P17" i="23"/>
  <c r="Q17" i="23"/>
  <c r="R17" i="23"/>
  <c r="AE17" i="23"/>
  <c r="S18" i="23"/>
  <c r="AE18" i="23"/>
  <c r="S19" i="23"/>
  <c r="AE19" i="23"/>
  <c r="S20" i="23"/>
  <c r="AE20" i="23"/>
  <c r="S21" i="23"/>
  <c r="AE21" i="23"/>
  <c r="K22" i="23"/>
  <c r="S22" i="23"/>
  <c r="L22" i="23"/>
  <c r="Q22" i="23"/>
  <c r="R22" i="23"/>
  <c r="AE22" i="23"/>
  <c r="G23" i="23"/>
  <c r="P23" i="23"/>
  <c r="S23" i="23"/>
  <c r="AE23" i="23"/>
  <c r="H24" i="23"/>
  <c r="M24" i="23"/>
  <c r="P24" i="23"/>
  <c r="AE24" i="23"/>
  <c r="I25" i="23"/>
  <c r="K25" i="23"/>
  <c r="L25" i="23"/>
  <c r="M25" i="23"/>
  <c r="O25" i="23"/>
  <c r="Q25" i="23"/>
  <c r="AE25" i="23"/>
  <c r="I26" i="23"/>
  <c r="N26" i="23"/>
  <c r="P26" i="23"/>
  <c r="S26" i="23"/>
  <c r="R26" i="23"/>
  <c r="AE26" i="23"/>
  <c r="L27" i="23"/>
  <c r="S27" i="23"/>
  <c r="M27" i="23"/>
  <c r="AE27" i="23"/>
  <c r="G28" i="23"/>
  <c r="S28" i="23"/>
  <c r="K28" i="23"/>
  <c r="O28" i="23"/>
  <c r="Q28" i="23"/>
  <c r="AE28" i="23"/>
  <c r="J29" i="23"/>
  <c r="K29" i="23"/>
  <c r="M29" i="23"/>
  <c r="O29" i="23"/>
  <c r="P29" i="23"/>
  <c r="AE29" i="23"/>
  <c r="G30" i="23"/>
  <c r="H30" i="23"/>
  <c r="S30" i="23"/>
  <c r="I30" i="23"/>
  <c r="J30" i="23"/>
  <c r="K30" i="23"/>
  <c r="L30" i="23"/>
  <c r="M30" i="23"/>
  <c r="N30" i="23"/>
  <c r="O30" i="23"/>
  <c r="P30" i="23"/>
  <c r="Q30" i="23"/>
  <c r="AE30" i="23"/>
  <c r="S31" i="23"/>
  <c r="AE31" i="23"/>
  <c r="H32" i="23"/>
  <c r="J32" i="23"/>
  <c r="L32" i="23"/>
  <c r="S32" i="23"/>
  <c r="M32" i="23"/>
  <c r="AE32" i="23"/>
  <c r="S33" i="23"/>
  <c r="AE33" i="23"/>
  <c r="S34" i="23"/>
  <c r="AE34" i="23"/>
  <c r="G35" i="23"/>
  <c r="H35" i="23"/>
  <c r="I35" i="23"/>
  <c r="J35" i="23"/>
  <c r="K35" i="23"/>
  <c r="L35" i="23"/>
  <c r="M35" i="23"/>
  <c r="N35" i="23"/>
  <c r="O35" i="23"/>
  <c r="P35" i="23"/>
  <c r="Q35" i="23"/>
  <c r="R35" i="23"/>
  <c r="AE35" i="23"/>
  <c r="S36" i="23"/>
  <c r="AE36" i="23"/>
  <c r="O37" i="23"/>
  <c r="S37" i="23"/>
  <c r="AE37" i="23"/>
  <c r="I38" i="23"/>
  <c r="M38" i="23"/>
  <c r="R38" i="23"/>
  <c r="AE38" i="23"/>
  <c r="S39" i="23"/>
  <c r="AE39" i="23"/>
  <c r="L40" i="23"/>
  <c r="N40" i="23"/>
  <c r="AE40" i="23"/>
  <c r="R41" i="23"/>
  <c r="S41" i="23"/>
  <c r="AE41" i="23"/>
  <c r="O42" i="23"/>
  <c r="S42" i="23"/>
  <c r="AE42" i="23"/>
  <c r="F43" i="23"/>
  <c r="G43" i="23"/>
  <c r="S43" i="23"/>
  <c r="AE43" i="23"/>
  <c r="S44" i="23"/>
  <c r="AE44" i="23"/>
  <c r="S45" i="23"/>
  <c r="AE45" i="23"/>
  <c r="S46" i="23"/>
  <c r="AE46" i="23"/>
  <c r="S47" i="23"/>
  <c r="AE47" i="23"/>
  <c r="S48" i="23"/>
  <c r="AE48" i="23"/>
  <c r="G49" i="23"/>
  <c r="S49" i="23"/>
  <c r="H49" i="23"/>
  <c r="I49" i="23"/>
  <c r="J49" i="23"/>
  <c r="K49" i="23"/>
  <c r="L49" i="23"/>
  <c r="M49" i="23"/>
  <c r="N49" i="23"/>
  <c r="O49" i="23"/>
  <c r="P49" i="23"/>
  <c r="Q49" i="23"/>
  <c r="R49" i="23"/>
  <c r="AE49" i="23"/>
  <c r="S50" i="23"/>
  <c r="AE50" i="23"/>
  <c r="S51" i="23"/>
  <c r="AE51" i="23"/>
  <c r="G52" i="23"/>
  <c r="H52" i="23"/>
  <c r="J52" i="23"/>
  <c r="K52" i="23"/>
  <c r="M52" i="23"/>
  <c r="N52" i="23"/>
  <c r="P52" i="23"/>
  <c r="Q52" i="23"/>
  <c r="R52" i="23"/>
  <c r="AE52" i="23"/>
  <c r="S53" i="23"/>
  <c r="AE53" i="23"/>
  <c r="S54" i="23"/>
  <c r="AE54" i="23"/>
  <c r="S55" i="23"/>
  <c r="AE55" i="23"/>
  <c r="S56" i="23"/>
  <c r="AE56" i="23"/>
  <c r="S57" i="23"/>
  <c r="AE57" i="23"/>
  <c r="G58" i="23"/>
  <c r="I58" i="23"/>
  <c r="R58" i="23"/>
  <c r="AE58" i="23"/>
  <c r="H59" i="23"/>
  <c r="S59" i="23"/>
  <c r="I59" i="23"/>
  <c r="AE59" i="23"/>
  <c r="S60" i="23"/>
  <c r="AE60" i="23"/>
  <c r="S61" i="23"/>
  <c r="AE61" i="23"/>
  <c r="G62" i="23"/>
  <c r="S62" i="23"/>
  <c r="AE62" i="23"/>
  <c r="S63" i="23"/>
  <c r="AE63" i="23"/>
  <c r="S64" i="23"/>
  <c r="AE64" i="23"/>
  <c r="S65" i="23"/>
  <c r="AE65" i="23"/>
  <c r="S66" i="23"/>
  <c r="AE66" i="23"/>
  <c r="S67" i="23"/>
  <c r="AE67" i="23"/>
  <c r="S68" i="23"/>
  <c r="AE68" i="23"/>
  <c r="S69" i="23"/>
  <c r="AE69" i="23"/>
  <c r="S70" i="23"/>
  <c r="AE70" i="23"/>
  <c r="S71" i="23"/>
  <c r="AE71" i="23"/>
  <c r="S72" i="23"/>
  <c r="AE72" i="23"/>
  <c r="S73" i="23"/>
  <c r="AE73" i="23"/>
  <c r="S74" i="23"/>
  <c r="AE74" i="23"/>
  <c r="K75" i="23"/>
  <c r="L75" i="23"/>
  <c r="M75" i="23"/>
  <c r="N75" i="23"/>
  <c r="O75" i="23"/>
  <c r="S75" i="23"/>
  <c r="P75" i="23"/>
  <c r="Q75" i="23"/>
  <c r="R75" i="23"/>
  <c r="AE75" i="23"/>
  <c r="S76" i="23"/>
  <c r="AE76" i="23"/>
  <c r="S77" i="23"/>
  <c r="AE77" i="23"/>
  <c r="S78" i="23"/>
  <c r="AE78" i="23"/>
  <c r="S79" i="23"/>
  <c r="AE79" i="23"/>
  <c r="S80" i="23"/>
  <c r="AE80" i="23"/>
  <c r="S81" i="23"/>
  <c r="AE81" i="23"/>
  <c r="S82" i="23"/>
  <c r="AE82" i="23"/>
  <c r="S83" i="23"/>
  <c r="AE83" i="23"/>
  <c r="S84" i="23"/>
  <c r="AE84" i="23"/>
  <c r="F85" i="23"/>
  <c r="S85" i="23"/>
  <c r="AE85" i="23"/>
  <c r="S86" i="23"/>
  <c r="AE86" i="23"/>
  <c r="S87" i="23"/>
  <c r="AE87" i="23"/>
  <c r="S88" i="23"/>
  <c r="AE88" i="23"/>
  <c r="S89" i="23"/>
  <c r="AE89" i="23"/>
  <c r="S90" i="23"/>
  <c r="AE90" i="23"/>
  <c r="S91" i="23"/>
  <c r="AE91" i="23"/>
  <c r="S92" i="23"/>
  <c r="AE92" i="23"/>
  <c r="S93" i="23"/>
  <c r="AE93" i="23"/>
  <c r="S94" i="23"/>
  <c r="AE94" i="23"/>
  <c r="S95" i="23"/>
  <c r="AE95" i="23"/>
  <c r="S96" i="23"/>
  <c r="AE96" i="23"/>
  <c r="S97" i="23"/>
  <c r="AE97" i="23"/>
  <c r="S98" i="23"/>
  <c r="AE98" i="23"/>
  <c r="S99" i="23"/>
  <c r="AE99" i="23"/>
  <c r="S100" i="23"/>
  <c r="AE100" i="23"/>
  <c r="S101" i="23"/>
  <c r="AE101" i="23"/>
  <c r="S102" i="23"/>
  <c r="AE102" i="23"/>
  <c r="S103" i="23"/>
  <c r="AE103" i="23"/>
  <c r="S104" i="23"/>
  <c r="AE104" i="23"/>
  <c r="S105" i="23"/>
  <c r="AE105" i="23"/>
  <c r="S106" i="23"/>
  <c r="AE106" i="23"/>
  <c r="S107" i="23"/>
  <c r="AE107" i="23"/>
  <c r="S108" i="23"/>
  <c r="AE108" i="23"/>
  <c r="S109" i="23"/>
  <c r="AE109" i="23"/>
  <c r="S110" i="23"/>
  <c r="AE110" i="23"/>
  <c r="S111" i="23"/>
  <c r="AE111" i="23"/>
  <c r="S112" i="23"/>
  <c r="AE112" i="23"/>
  <c r="S113" i="23"/>
  <c r="AE113" i="23"/>
  <c r="S114" i="23"/>
  <c r="AE114" i="23"/>
  <c r="S115" i="23"/>
  <c r="AE115" i="23"/>
  <c r="S116" i="23"/>
  <c r="AE116" i="23"/>
  <c r="S117" i="23"/>
  <c r="AE117" i="23"/>
  <c r="S118" i="23"/>
  <c r="AE118" i="23"/>
  <c r="S119" i="23"/>
  <c r="AE119" i="23"/>
  <c r="S120" i="23"/>
  <c r="AE120" i="23"/>
  <c r="S121" i="23"/>
  <c r="AE121" i="23"/>
  <c r="S122" i="23"/>
  <c r="AE122" i="23"/>
  <c r="S123" i="23"/>
  <c r="AE123" i="23"/>
  <c r="S124" i="23"/>
  <c r="AE124" i="23"/>
  <c r="S125" i="23"/>
  <c r="AE125" i="23"/>
  <c r="S126" i="23"/>
  <c r="AE126" i="23"/>
  <c r="S127" i="23"/>
  <c r="AE127" i="23"/>
  <c r="S128" i="23"/>
  <c r="AE128" i="23"/>
  <c r="S129" i="23"/>
  <c r="AE129" i="23"/>
  <c r="S130" i="23"/>
  <c r="AE130" i="23"/>
  <c r="S131" i="23"/>
  <c r="AE131" i="23"/>
  <c r="S132" i="23"/>
  <c r="AE132" i="23"/>
  <c r="S133" i="23"/>
  <c r="AE133" i="23"/>
  <c r="S134" i="23"/>
  <c r="AE134" i="23"/>
  <c r="S135" i="23"/>
  <c r="AE135" i="23"/>
  <c r="S136" i="23"/>
  <c r="AE136" i="23"/>
  <c r="S137" i="23"/>
  <c r="AE137" i="23"/>
  <c r="S138" i="23"/>
  <c r="AE138" i="23"/>
  <c r="S139" i="23"/>
  <c r="AE139" i="23"/>
  <c r="S140" i="23"/>
  <c r="AE140" i="23"/>
  <c r="S141" i="23"/>
  <c r="AE141" i="23"/>
  <c r="S142" i="23"/>
  <c r="AE142" i="23"/>
  <c r="S143" i="23"/>
  <c r="AE143" i="23"/>
  <c r="S144" i="23"/>
  <c r="AE144" i="23"/>
  <c r="S145" i="23"/>
  <c r="AE145" i="23"/>
  <c r="S146" i="23"/>
  <c r="AE146" i="23"/>
  <c r="S147" i="23"/>
  <c r="AE147" i="23"/>
  <c r="AE3" i="22"/>
  <c r="T101" i="22" s="1"/>
  <c r="M6" i="22"/>
  <c r="S6" i="22"/>
  <c r="AE6" i="22"/>
  <c r="H7" i="22"/>
  <c r="S7" i="22"/>
  <c r="AE7" i="22"/>
  <c r="S8" i="22"/>
  <c r="AE8" i="22"/>
  <c r="S9" i="22"/>
  <c r="AE9" i="22"/>
  <c r="S10" i="22"/>
  <c r="AE10" i="22"/>
  <c r="S11" i="22"/>
  <c r="AE11" i="22"/>
  <c r="S12" i="22"/>
  <c r="AE12" i="22"/>
  <c r="S13" i="22"/>
  <c r="AE13" i="22"/>
  <c r="S14" i="22"/>
  <c r="AE14" i="22"/>
  <c r="S15" i="22"/>
  <c r="AE15" i="22"/>
  <c r="S16" i="22"/>
  <c r="AE16" i="22"/>
  <c r="I17" i="22"/>
  <c r="S17" i="22"/>
  <c r="AE17" i="22"/>
  <c r="P18" i="22"/>
  <c r="S18" i="22"/>
  <c r="AE18" i="22"/>
  <c r="G19" i="22"/>
  <c r="J19" i="22"/>
  <c r="S19" i="22"/>
  <c r="L19" i="22"/>
  <c r="M19" i="22"/>
  <c r="Q19" i="22"/>
  <c r="AE19" i="22"/>
  <c r="S20" i="22"/>
  <c r="AE20" i="22"/>
  <c r="S21" i="22"/>
  <c r="AE21" i="22"/>
  <c r="S22" i="22"/>
  <c r="AE22" i="22"/>
  <c r="S23" i="22"/>
  <c r="AE23" i="22"/>
  <c r="S24" i="22"/>
  <c r="AE24" i="22"/>
  <c r="S25" i="22"/>
  <c r="AE25" i="22"/>
  <c r="H26" i="22"/>
  <c r="J26" i="22"/>
  <c r="Q26" i="22"/>
  <c r="R26" i="22"/>
  <c r="AE26" i="22"/>
  <c r="S27" i="22"/>
  <c r="AE27" i="22"/>
  <c r="I28" i="22"/>
  <c r="S28" i="22"/>
  <c r="K28" i="22"/>
  <c r="AE28" i="22"/>
  <c r="S29" i="22"/>
  <c r="AE29" i="22"/>
  <c r="S30" i="22"/>
  <c r="AE30" i="22"/>
  <c r="S31" i="22"/>
  <c r="AE31" i="22"/>
  <c r="G32" i="22"/>
  <c r="H32" i="22"/>
  <c r="I32" i="22"/>
  <c r="J32" i="22"/>
  <c r="K32" i="22"/>
  <c r="L32" i="22"/>
  <c r="M32" i="22"/>
  <c r="N32" i="22"/>
  <c r="O32" i="22"/>
  <c r="P32" i="22"/>
  <c r="Q32" i="22"/>
  <c r="R32" i="22"/>
  <c r="AE32" i="22"/>
  <c r="S33" i="22"/>
  <c r="AE33" i="22"/>
  <c r="S34" i="22"/>
  <c r="AE34" i="22"/>
  <c r="S35" i="22"/>
  <c r="AE35" i="22"/>
  <c r="S36" i="22"/>
  <c r="AE36" i="22"/>
  <c r="G37" i="22"/>
  <c r="K37" i="22"/>
  <c r="AE37" i="22"/>
  <c r="G38" i="22"/>
  <c r="O38" i="22"/>
  <c r="S38" i="22"/>
  <c r="P38" i="22"/>
  <c r="AE38" i="22"/>
  <c r="S39" i="22"/>
  <c r="AE39" i="22"/>
  <c r="G40" i="22"/>
  <c r="P40" i="22"/>
  <c r="S40" i="22"/>
  <c r="AE40" i="22"/>
  <c r="M41" i="22"/>
  <c r="S41" i="22"/>
  <c r="AE41" i="22"/>
  <c r="K42" i="22"/>
  <c r="S42" i="22"/>
  <c r="AE42" i="22"/>
  <c r="G43" i="22"/>
  <c r="S43" i="22"/>
  <c r="M43" i="22"/>
  <c r="P43" i="22"/>
  <c r="R43" i="22"/>
  <c r="AE43" i="22"/>
  <c r="H44" i="22"/>
  <c r="O44" i="22"/>
  <c r="S44" i="22"/>
  <c r="AE44" i="22"/>
  <c r="S45" i="22"/>
  <c r="AE45" i="22"/>
  <c r="L46" i="22"/>
  <c r="S46" i="22"/>
  <c r="AE46" i="22"/>
  <c r="I47" i="22"/>
  <c r="K47" i="22"/>
  <c r="L47" i="22"/>
  <c r="M47" i="22"/>
  <c r="N47" i="22"/>
  <c r="O47" i="22"/>
  <c r="S47" i="22"/>
  <c r="P47" i="22"/>
  <c r="AE47" i="22"/>
  <c r="S48" i="22"/>
  <c r="AE48" i="22"/>
  <c r="F49" i="22"/>
  <c r="G49" i="22"/>
  <c r="H49" i="22"/>
  <c r="J49" i="22"/>
  <c r="AE49" i="22"/>
  <c r="O50" i="22"/>
  <c r="Q50" i="22"/>
  <c r="S50" i="22"/>
  <c r="AE50" i="22"/>
  <c r="G51" i="22"/>
  <c r="S51" i="22"/>
  <c r="AE51" i="22"/>
  <c r="K52" i="22"/>
  <c r="R52" i="22"/>
  <c r="S52" i="22"/>
  <c r="AE52" i="22"/>
  <c r="J53" i="22"/>
  <c r="S53" i="22"/>
  <c r="AE53" i="22"/>
  <c r="G54" i="22"/>
  <c r="S54" i="22"/>
  <c r="AE54" i="22"/>
  <c r="S55" i="22"/>
  <c r="AE55" i="22"/>
  <c r="J56" i="22"/>
  <c r="S56" i="22"/>
  <c r="AE56" i="22"/>
  <c r="J57" i="22"/>
  <c r="P57" i="22"/>
  <c r="R57" i="22"/>
  <c r="AE57" i="22"/>
  <c r="S58" i="22"/>
  <c r="AE58" i="22"/>
  <c r="K59" i="22"/>
  <c r="S59" i="22"/>
  <c r="AE59" i="22"/>
  <c r="H60" i="22"/>
  <c r="S60" i="22"/>
  <c r="AE60" i="22"/>
  <c r="O61" i="22"/>
  <c r="S61" i="22"/>
  <c r="AE61" i="22"/>
  <c r="I62" i="22"/>
  <c r="S62" i="22"/>
  <c r="AE62" i="22"/>
  <c r="S63" i="22"/>
  <c r="AE63" i="22"/>
  <c r="Q64" i="22"/>
  <c r="S64" i="22"/>
  <c r="AE64" i="22"/>
  <c r="S65" i="22"/>
  <c r="AE65" i="22"/>
  <c r="N66" i="22"/>
  <c r="S66" i="22"/>
  <c r="AE66" i="22"/>
  <c r="S67" i="22"/>
  <c r="AE67" i="22"/>
  <c r="S68" i="22"/>
  <c r="AE68" i="22"/>
  <c r="S69" i="22"/>
  <c r="AE69" i="22"/>
  <c r="S70" i="22"/>
  <c r="AE70" i="22"/>
  <c r="S71" i="22"/>
  <c r="AE71" i="22"/>
  <c r="S72" i="22"/>
  <c r="AE72" i="22"/>
  <c r="S73" i="22"/>
  <c r="AE73" i="22"/>
  <c r="G74" i="22"/>
  <c r="H74" i="22"/>
  <c r="I74" i="22"/>
  <c r="J74" i="22"/>
  <c r="K74" i="22"/>
  <c r="L74" i="22"/>
  <c r="M74" i="22"/>
  <c r="N74" i="22"/>
  <c r="O74" i="22"/>
  <c r="P74" i="22"/>
  <c r="Q74" i="22"/>
  <c r="R74" i="22"/>
  <c r="AE74" i="22"/>
  <c r="S75" i="22"/>
  <c r="AE75" i="22"/>
  <c r="S76" i="22"/>
  <c r="AE76" i="22"/>
  <c r="S77" i="22"/>
  <c r="AE77" i="22"/>
  <c r="H78" i="22"/>
  <c r="S78" i="22"/>
  <c r="AE78" i="22"/>
  <c r="S79" i="22"/>
  <c r="AE79" i="22"/>
  <c r="S80" i="22"/>
  <c r="AE80" i="22"/>
  <c r="S81" i="22"/>
  <c r="AE81" i="22"/>
  <c r="S82" i="22"/>
  <c r="AE82" i="22"/>
  <c r="S83" i="22"/>
  <c r="AE83" i="22"/>
  <c r="K84" i="22"/>
  <c r="L84" i="22"/>
  <c r="M84" i="22"/>
  <c r="N84" i="22"/>
  <c r="O84" i="22"/>
  <c r="P84" i="22"/>
  <c r="Q84" i="22"/>
  <c r="R84" i="22"/>
  <c r="AE84" i="22"/>
  <c r="S85" i="22"/>
  <c r="AE85" i="22"/>
  <c r="N86" i="22"/>
  <c r="S86" i="22"/>
  <c r="AE86" i="22"/>
  <c r="S87" i="22"/>
  <c r="AE87" i="22"/>
  <c r="S88" i="22"/>
  <c r="AE88" i="22"/>
  <c r="S89" i="22"/>
  <c r="AE89" i="22"/>
  <c r="S90" i="22"/>
  <c r="AE90" i="22"/>
  <c r="S91" i="22"/>
  <c r="AE91" i="22"/>
  <c r="S92" i="22"/>
  <c r="AE92" i="22"/>
  <c r="S93" i="22"/>
  <c r="AE93" i="22"/>
  <c r="S94" i="22"/>
  <c r="AE94" i="22"/>
  <c r="S95" i="22"/>
  <c r="AE95" i="22"/>
  <c r="P96" i="22"/>
  <c r="S96" i="22"/>
  <c r="AE96" i="22"/>
  <c r="S97" i="22"/>
  <c r="AE97" i="22"/>
  <c r="Q98" i="22"/>
  <c r="S98" i="22"/>
  <c r="R98" i="22"/>
  <c r="AE98" i="22"/>
  <c r="S99" i="22"/>
  <c r="AE99" i="22"/>
  <c r="S100" i="22"/>
  <c r="AE100" i="22"/>
  <c r="S101" i="22"/>
  <c r="AE101" i="22"/>
  <c r="S102" i="22"/>
  <c r="AE102" i="22"/>
  <c r="Q103" i="22"/>
  <c r="S103" i="22"/>
  <c r="AE103" i="22"/>
  <c r="S104" i="22"/>
  <c r="AE104" i="22"/>
  <c r="S105" i="22"/>
  <c r="AE105" i="22"/>
  <c r="S106" i="22"/>
  <c r="AE106" i="22"/>
  <c r="S107" i="22"/>
  <c r="AE107" i="22"/>
  <c r="S108" i="22"/>
  <c r="AE108" i="22"/>
  <c r="S109" i="22"/>
  <c r="AE109" i="22"/>
  <c r="S110" i="22"/>
  <c r="AE110" i="22"/>
  <c r="S111" i="22"/>
  <c r="AE111" i="22"/>
  <c r="S112" i="22"/>
  <c r="AE112" i="22"/>
  <c r="S113" i="22"/>
  <c r="AE113" i="22"/>
  <c r="S114" i="22"/>
  <c r="AE114" i="22"/>
  <c r="S115" i="22"/>
  <c r="AE115" i="22"/>
  <c r="S116" i="22"/>
  <c r="AE116" i="22"/>
  <c r="S117" i="22"/>
  <c r="AE117" i="22"/>
  <c r="S118" i="22"/>
  <c r="AE118" i="22"/>
  <c r="S119" i="22"/>
  <c r="AE119" i="22"/>
  <c r="S120" i="22"/>
  <c r="AE120" i="22"/>
  <c r="S121" i="22"/>
  <c r="AE121" i="22"/>
  <c r="S122" i="22"/>
  <c r="AE122" i="22"/>
  <c r="S123" i="22"/>
  <c r="AE123" i="22"/>
  <c r="S124" i="22"/>
  <c r="AE124" i="22"/>
  <c r="S125" i="22"/>
  <c r="AE125" i="22"/>
  <c r="S126" i="22"/>
  <c r="AE126" i="22"/>
  <c r="S127" i="22"/>
  <c r="AE127" i="22"/>
  <c r="S128" i="22"/>
  <c r="AE128" i="22"/>
  <c r="S129" i="22"/>
  <c r="AE129" i="22"/>
  <c r="S130" i="22"/>
  <c r="AE130" i="22"/>
  <c r="S131" i="22"/>
  <c r="AE131" i="22"/>
  <c r="S132" i="22"/>
  <c r="AE132" i="22"/>
  <c r="S133" i="22"/>
  <c r="AE133" i="22"/>
  <c r="S134" i="22"/>
  <c r="AE134" i="22"/>
  <c r="S135" i="22"/>
  <c r="AE135" i="22"/>
  <c r="AE3" i="21"/>
  <c r="T103" i="21" s="1"/>
  <c r="S6" i="21"/>
  <c r="AE6" i="21"/>
  <c r="S7" i="21"/>
  <c r="AE7" i="21"/>
  <c r="O8" i="21"/>
  <c r="S8" i="21"/>
  <c r="AE8" i="21"/>
  <c r="G9" i="21"/>
  <c r="S9" i="21"/>
  <c r="AE9" i="21"/>
  <c r="S10" i="21"/>
  <c r="AE10" i="21"/>
  <c r="O11" i="21"/>
  <c r="S11" i="21"/>
  <c r="AE11" i="21"/>
  <c r="S12" i="21"/>
  <c r="AE12" i="21"/>
  <c r="K13" i="21"/>
  <c r="S13" i="21"/>
  <c r="AE13" i="21"/>
  <c r="S14" i="21"/>
  <c r="AE14" i="21"/>
  <c r="Q15" i="21"/>
  <c r="R15" i="21"/>
  <c r="S15" i="21"/>
  <c r="AE15" i="21"/>
  <c r="S16" i="21"/>
  <c r="AE16" i="21"/>
  <c r="S17" i="21"/>
  <c r="AE17" i="21"/>
  <c r="S18" i="21"/>
  <c r="AE18" i="21"/>
  <c r="P19" i="21"/>
  <c r="S19" i="21"/>
  <c r="AE19" i="21"/>
  <c r="S20" i="21"/>
  <c r="AE20" i="21"/>
  <c r="S21" i="21"/>
  <c r="AE21" i="21"/>
  <c r="S22" i="21"/>
  <c r="AE22" i="21"/>
  <c r="S23" i="21"/>
  <c r="AE23" i="21"/>
  <c r="S24" i="21"/>
  <c r="AE24" i="21"/>
  <c r="S25" i="21"/>
  <c r="AE25" i="21"/>
  <c r="M26" i="21"/>
  <c r="S26" i="21"/>
  <c r="AE26" i="21"/>
  <c r="G27" i="21"/>
  <c r="H27" i="21"/>
  <c r="J27" i="21"/>
  <c r="M27" i="21"/>
  <c r="AE27" i="21"/>
  <c r="S28" i="21"/>
  <c r="AE28" i="21"/>
  <c r="S29" i="21"/>
  <c r="AE29" i="21"/>
  <c r="S30" i="21"/>
  <c r="AE30" i="21"/>
  <c r="S31" i="21"/>
  <c r="AE31" i="21"/>
  <c r="S32" i="21"/>
  <c r="AE32" i="21"/>
  <c r="S33" i="21"/>
  <c r="AE33" i="21"/>
  <c r="K34" i="21"/>
  <c r="S34" i="21"/>
  <c r="AE34" i="21"/>
  <c r="I35" i="21"/>
  <c r="S35" i="21"/>
  <c r="AE35" i="21"/>
  <c r="S36" i="21"/>
  <c r="AE36" i="21"/>
  <c r="S37" i="21"/>
  <c r="AE37" i="21"/>
  <c r="G38" i="21"/>
  <c r="I38" i="21"/>
  <c r="S38" i="21"/>
  <c r="AE38" i="21"/>
  <c r="S39" i="21"/>
  <c r="AE39" i="21"/>
  <c r="S40" i="21"/>
  <c r="AE40" i="21"/>
  <c r="S41" i="21"/>
  <c r="AE41" i="21"/>
  <c r="S42" i="21"/>
  <c r="AE42" i="21"/>
  <c r="S43" i="21"/>
  <c r="AE43" i="21"/>
  <c r="S44" i="21"/>
  <c r="AE44" i="21"/>
  <c r="S45" i="21"/>
  <c r="AE45" i="21"/>
  <c r="G46" i="21"/>
  <c r="H46" i="21"/>
  <c r="I46" i="21"/>
  <c r="J46" i="21"/>
  <c r="K46" i="21"/>
  <c r="L46" i="21"/>
  <c r="M46" i="21"/>
  <c r="N46" i="21"/>
  <c r="O46" i="21"/>
  <c r="P46" i="21"/>
  <c r="Q46" i="21"/>
  <c r="R46" i="21"/>
  <c r="AE46" i="21"/>
  <c r="S47" i="21"/>
  <c r="AE47" i="21"/>
  <c r="S48" i="21"/>
  <c r="AE48" i="21"/>
  <c r="S49" i="21"/>
  <c r="AE49" i="21"/>
  <c r="S50" i="21"/>
  <c r="AE50" i="21"/>
  <c r="O51" i="21"/>
  <c r="S51" i="21"/>
  <c r="Q51" i="21"/>
  <c r="AE51" i="21"/>
  <c r="S52" i="21"/>
  <c r="AE52" i="21"/>
  <c r="S53" i="21"/>
  <c r="AE53" i="21"/>
  <c r="S54" i="21"/>
  <c r="AE54" i="21"/>
  <c r="S55" i="21"/>
  <c r="AE55" i="21"/>
  <c r="G56" i="21"/>
  <c r="S56" i="21"/>
  <c r="N56" i="21"/>
  <c r="AE56" i="21"/>
  <c r="S57" i="21"/>
  <c r="AE57" i="21"/>
  <c r="S58" i="21"/>
  <c r="AE58" i="21"/>
  <c r="R59" i="21"/>
  <c r="S59" i="21"/>
  <c r="AE59" i="21"/>
  <c r="Q60" i="21"/>
  <c r="S60" i="21"/>
  <c r="AE60" i="21"/>
  <c r="R61" i="21"/>
  <c r="S61" i="21"/>
  <c r="AE61" i="21"/>
  <c r="I62" i="21"/>
  <c r="S62" i="21"/>
  <c r="AE62" i="21"/>
  <c r="F63" i="21"/>
  <c r="G63" i="21"/>
  <c r="H63" i="21"/>
  <c r="I63" i="21"/>
  <c r="J63" i="21"/>
  <c r="K63" i="21"/>
  <c r="L63" i="21"/>
  <c r="M63" i="21"/>
  <c r="N63" i="21"/>
  <c r="O63" i="21"/>
  <c r="P63" i="21"/>
  <c r="AE63" i="21"/>
  <c r="S64" i="21"/>
  <c r="AE64" i="21"/>
  <c r="J65" i="21"/>
  <c r="S65" i="21"/>
  <c r="AE65" i="21"/>
  <c r="Q66" i="21"/>
  <c r="S66" i="21"/>
  <c r="AE66" i="21"/>
  <c r="J67" i="21"/>
  <c r="S67" i="21"/>
  <c r="AE67" i="21"/>
  <c r="S68" i="21"/>
  <c r="AE68" i="21"/>
  <c r="S69" i="21"/>
  <c r="AE69" i="21"/>
  <c r="R70" i="21"/>
  <c r="S70" i="21"/>
  <c r="AE70" i="21"/>
  <c r="G71" i="21"/>
  <c r="J71" i="21"/>
  <c r="S71" i="21"/>
  <c r="K71" i="21"/>
  <c r="M71" i="21"/>
  <c r="N71" i="21"/>
  <c r="P71" i="21"/>
  <c r="Q71" i="21"/>
  <c r="R71" i="21"/>
  <c r="AE71" i="21"/>
  <c r="S72" i="21"/>
  <c r="AE72" i="21"/>
  <c r="S73" i="21"/>
  <c r="AE73" i="21"/>
  <c r="S74" i="21"/>
  <c r="AE74" i="21"/>
  <c r="S75" i="21"/>
  <c r="AE75" i="21"/>
  <c r="L76" i="21"/>
  <c r="S76" i="21"/>
  <c r="AE76" i="21"/>
  <c r="I77" i="21"/>
  <c r="K77" i="21"/>
  <c r="AE77" i="21"/>
  <c r="S78" i="21"/>
  <c r="AE78" i="21"/>
  <c r="I79" i="21"/>
  <c r="S79" i="21"/>
  <c r="AE79" i="21"/>
  <c r="I80" i="21"/>
  <c r="S80" i="21"/>
  <c r="AE80" i="21"/>
  <c r="H81" i="21"/>
  <c r="S81" i="21"/>
  <c r="R81" i="21"/>
  <c r="AE81" i="21"/>
  <c r="S82" i="21"/>
  <c r="AE82" i="21"/>
  <c r="R83" i="21"/>
  <c r="S83" i="21"/>
  <c r="AE83" i="21"/>
  <c r="S84" i="21"/>
  <c r="AE84" i="21"/>
  <c r="P85" i="21"/>
  <c r="S85" i="21"/>
  <c r="AE85" i="21"/>
  <c r="S86" i="21"/>
  <c r="AE86" i="21"/>
  <c r="S87" i="21"/>
  <c r="AE87" i="21"/>
  <c r="S88" i="21"/>
  <c r="AE88" i="21"/>
  <c r="S89" i="21"/>
  <c r="AE89" i="21"/>
  <c r="S90" i="21"/>
  <c r="AE90" i="21"/>
  <c r="S91" i="21"/>
  <c r="AE91" i="21"/>
  <c r="S92" i="21"/>
  <c r="AE92" i="21"/>
  <c r="K93" i="21"/>
  <c r="S93" i="21"/>
  <c r="AE93" i="21"/>
  <c r="S94" i="21"/>
  <c r="AE94" i="21"/>
  <c r="S95" i="21"/>
  <c r="AE95" i="21"/>
  <c r="S96" i="21"/>
  <c r="AE96" i="21"/>
  <c r="S97" i="21"/>
  <c r="AE97" i="21"/>
  <c r="S98" i="21"/>
  <c r="AE98" i="21"/>
  <c r="S99" i="21"/>
  <c r="AE99" i="21"/>
  <c r="S100" i="21"/>
  <c r="AE100" i="21"/>
  <c r="S101" i="21"/>
  <c r="AE101" i="21"/>
  <c r="S102" i="21"/>
  <c r="AE102" i="21"/>
  <c r="S103" i="21"/>
  <c r="AE103" i="21"/>
  <c r="S104" i="21"/>
  <c r="AE104" i="21"/>
  <c r="S105" i="21"/>
  <c r="AE105" i="21"/>
  <c r="S106" i="21"/>
  <c r="AE106" i="21"/>
  <c r="S107" i="21"/>
  <c r="AE107" i="21"/>
  <c r="S108" i="21"/>
  <c r="AE108" i="21"/>
  <c r="S109" i="21"/>
  <c r="AE109" i="21"/>
  <c r="S110" i="21"/>
  <c r="AE110" i="21"/>
  <c r="S111" i="21"/>
  <c r="AE111" i="21"/>
  <c r="S112" i="21"/>
  <c r="AE112" i="21"/>
  <c r="AE2" i="20"/>
  <c r="T53" i="20" s="1"/>
  <c r="S5" i="20"/>
  <c r="AE5" i="20"/>
  <c r="S6" i="20"/>
  <c r="S7" i="20"/>
  <c r="AE7" i="20"/>
  <c r="S8" i="20"/>
  <c r="AE8" i="20"/>
  <c r="S9" i="20"/>
  <c r="AE9" i="20"/>
  <c r="S10" i="20"/>
  <c r="AE10" i="20"/>
  <c r="S11" i="20"/>
  <c r="AE11" i="20"/>
  <c r="S12" i="20"/>
  <c r="AE12" i="20"/>
  <c r="S13" i="20"/>
  <c r="AE13" i="20"/>
  <c r="S14" i="20"/>
  <c r="AE14" i="20"/>
  <c r="S15" i="20"/>
  <c r="AE15" i="20"/>
  <c r="S16" i="20"/>
  <c r="AE16" i="20"/>
  <c r="S17" i="20"/>
  <c r="AE17" i="20"/>
  <c r="S18" i="20"/>
  <c r="AE18" i="20"/>
  <c r="S19" i="20"/>
  <c r="AE19" i="20"/>
  <c r="S20" i="20"/>
  <c r="AE20" i="20"/>
  <c r="S21" i="20"/>
  <c r="AE21" i="20"/>
  <c r="S22" i="20"/>
  <c r="AE22" i="20"/>
  <c r="S23" i="20"/>
  <c r="AE23" i="20"/>
  <c r="S24" i="20"/>
  <c r="AE24" i="20"/>
  <c r="S25" i="20"/>
  <c r="AE25" i="20"/>
  <c r="S26" i="20"/>
  <c r="AE26" i="20"/>
  <c r="S27" i="20"/>
  <c r="S28" i="20"/>
  <c r="AE28" i="20"/>
  <c r="S29" i="20"/>
  <c r="AE29" i="20"/>
  <c r="S30" i="20"/>
  <c r="AE30" i="20"/>
  <c r="S31" i="20"/>
  <c r="AE31" i="20"/>
  <c r="S32" i="20"/>
  <c r="AE32" i="20"/>
  <c r="S33" i="20"/>
  <c r="AE33" i="20"/>
  <c r="S34" i="20"/>
  <c r="AE34" i="20"/>
  <c r="S35" i="20"/>
  <c r="AE35" i="20"/>
  <c r="S36" i="20"/>
  <c r="AE36" i="20"/>
  <c r="S37" i="20"/>
  <c r="AE37" i="20"/>
  <c r="S38" i="20"/>
  <c r="AE38" i="20"/>
  <c r="S39" i="20"/>
  <c r="AE39" i="20"/>
  <c r="S40" i="20"/>
  <c r="AE40" i="20"/>
  <c r="S41" i="20"/>
  <c r="AE41" i="20"/>
  <c r="S42" i="20"/>
  <c r="AE42" i="20"/>
  <c r="S43" i="20"/>
  <c r="AE43" i="20"/>
  <c r="S44" i="20"/>
  <c r="S45" i="20"/>
  <c r="AE45" i="20"/>
  <c r="S46" i="20"/>
  <c r="AE46" i="20"/>
  <c r="S47" i="20"/>
  <c r="S48" i="20"/>
  <c r="AE48" i="20"/>
  <c r="S49" i="20"/>
  <c r="AE49" i="20"/>
  <c r="S50" i="20"/>
  <c r="AE50" i="20"/>
  <c r="S51" i="20"/>
  <c r="AE51" i="20"/>
  <c r="S52" i="20"/>
  <c r="AE52" i="20"/>
  <c r="S53" i="20"/>
  <c r="AE53" i="20"/>
  <c r="S54" i="20"/>
  <c r="S55" i="20"/>
  <c r="T11" i="18"/>
  <c r="AE11" i="18"/>
  <c r="T12" i="18"/>
  <c r="AE12" i="18"/>
  <c r="T13" i="18"/>
  <c r="AE13" i="18"/>
  <c r="T14" i="18"/>
  <c r="AE14" i="18"/>
  <c r="T15" i="18"/>
  <c r="T16" i="18"/>
  <c r="T17" i="18"/>
  <c r="T18" i="18"/>
  <c r="T19" i="18"/>
  <c r="AE19" i="18"/>
  <c r="T20" i="18"/>
  <c r="AE20" i="18"/>
  <c r="T21" i="18"/>
  <c r="T22" i="18"/>
  <c r="T23" i="18"/>
  <c r="AE23" i="18"/>
  <c r="T24" i="18"/>
  <c r="T25" i="18"/>
  <c r="T26" i="18"/>
  <c r="AE26" i="18"/>
  <c r="T27" i="18"/>
  <c r="T28" i="18"/>
  <c r="T29" i="18"/>
  <c r="AE29" i="18"/>
  <c r="T30" i="18"/>
  <c r="AE30" i="18"/>
  <c r="G31" i="18"/>
  <c r="R31" i="18"/>
  <c r="T31" i="18"/>
  <c r="T32" i="18"/>
  <c r="T33" i="18"/>
  <c r="AE33" i="18"/>
  <c r="L34" i="18"/>
  <c r="T34" i="18"/>
  <c r="AE34" i="18"/>
  <c r="T35" i="18"/>
  <c r="AE35" i="18"/>
  <c r="K37" i="18"/>
  <c r="T37" i="18"/>
  <c r="O37" i="18"/>
  <c r="AE37" i="18"/>
  <c r="K38" i="18"/>
  <c r="O38" i="18"/>
  <c r="AE38" i="18"/>
  <c r="T39" i="18"/>
  <c r="AE39" i="18"/>
  <c r="T40" i="18"/>
  <c r="T41" i="18"/>
  <c r="AE41" i="18"/>
  <c r="T42" i="18"/>
  <c r="AE42" i="18"/>
  <c r="K43" i="18"/>
  <c r="T43" i="18"/>
  <c r="AE43" i="18"/>
  <c r="T44" i="18"/>
  <c r="AE44" i="18"/>
  <c r="I45" i="18"/>
  <c r="T45" i="18"/>
  <c r="AE45" i="18"/>
  <c r="T46" i="18"/>
  <c r="AE46" i="18"/>
  <c r="T47" i="18"/>
  <c r="AE47" i="18"/>
  <c r="T48" i="18"/>
  <c r="AE48" i="18"/>
  <c r="M49" i="18"/>
  <c r="T49" i="18"/>
  <c r="AE49" i="18"/>
  <c r="J50" i="18"/>
  <c r="T50" i="18"/>
  <c r="AE50" i="18"/>
  <c r="S51" i="18"/>
  <c r="T51" i="18"/>
  <c r="AE51" i="18"/>
  <c r="T52" i="18"/>
  <c r="AE52" i="18"/>
  <c r="T53" i="18"/>
  <c r="AE53" i="18"/>
  <c r="I54" i="18"/>
  <c r="J54" i="18"/>
  <c r="K54" i="18"/>
  <c r="L54" i="18"/>
  <c r="M54" i="18"/>
  <c r="N54" i="18"/>
  <c r="O54" i="18"/>
  <c r="P54" i="18"/>
  <c r="Q54" i="18"/>
  <c r="R54" i="18"/>
  <c r="AE54" i="18"/>
  <c r="P55" i="18"/>
  <c r="T55" i="18"/>
  <c r="AE55" i="18"/>
  <c r="T56" i="18"/>
  <c r="AE56" i="18"/>
  <c r="T57" i="18"/>
  <c r="AE57" i="18"/>
  <c r="T58" i="18"/>
  <c r="AE58" i="18"/>
  <c r="T59" i="18"/>
  <c r="AE59" i="18"/>
  <c r="T60" i="18"/>
  <c r="AE60" i="18"/>
  <c r="T61" i="18"/>
  <c r="AE61" i="18"/>
  <c r="T62" i="18"/>
  <c r="AE62" i="18"/>
  <c r="T63" i="18"/>
  <c r="AE63" i="18"/>
  <c r="T64" i="18"/>
  <c r="AE64" i="18"/>
  <c r="T65" i="18"/>
  <c r="AE65" i="18"/>
  <c r="T66" i="18"/>
  <c r="AE66" i="18"/>
  <c r="J67" i="18"/>
  <c r="K67" i="18"/>
  <c r="P67" i="18"/>
  <c r="Q67" i="18"/>
  <c r="AE67" i="18"/>
  <c r="T68" i="18"/>
  <c r="AE68" i="18"/>
  <c r="T69" i="18"/>
  <c r="AE69" i="18"/>
  <c r="O71" i="18"/>
  <c r="P71" i="18"/>
  <c r="T71" i="18"/>
  <c r="Q71" i="18"/>
  <c r="AE71" i="18"/>
  <c r="T73" i="18"/>
  <c r="AE2" i="16"/>
  <c r="T79" i="16" s="1"/>
  <c r="S5" i="16"/>
  <c r="AE5" i="16"/>
  <c r="S6" i="16"/>
  <c r="AE6" i="16"/>
  <c r="S7" i="16"/>
  <c r="S8" i="16"/>
  <c r="AE8" i="16"/>
  <c r="S9" i="16"/>
  <c r="AE9" i="16"/>
  <c r="S10" i="16"/>
  <c r="AE10" i="16"/>
  <c r="S11" i="16"/>
  <c r="AE11" i="16"/>
  <c r="S12" i="16"/>
  <c r="AE12" i="16"/>
  <c r="S13" i="16"/>
  <c r="AE13" i="16"/>
  <c r="S14" i="16"/>
  <c r="AE14" i="16"/>
  <c r="S15" i="16"/>
  <c r="S16" i="16"/>
  <c r="AE16" i="16"/>
  <c r="S17" i="16"/>
  <c r="S18" i="16"/>
  <c r="AE18" i="16"/>
  <c r="S19" i="16"/>
  <c r="AE19" i="16"/>
  <c r="S20" i="16"/>
  <c r="AE20" i="16"/>
  <c r="S21" i="16"/>
  <c r="AE21" i="16"/>
  <c r="S22" i="16"/>
  <c r="AE22" i="16"/>
  <c r="S23" i="16"/>
  <c r="AE23" i="16"/>
  <c r="S24" i="16"/>
  <c r="AE24" i="16"/>
  <c r="S25" i="16"/>
  <c r="AE25" i="16"/>
  <c r="S26" i="16"/>
  <c r="AE26" i="16"/>
  <c r="S27" i="16"/>
  <c r="AE27" i="16"/>
  <c r="S28" i="16"/>
  <c r="AE28" i="16"/>
  <c r="S29" i="16"/>
  <c r="AE29" i="16"/>
  <c r="S30" i="16"/>
  <c r="AE30" i="16"/>
  <c r="S31" i="16"/>
  <c r="AE31" i="16"/>
  <c r="S32" i="16"/>
  <c r="AE32" i="16"/>
  <c r="S33" i="16"/>
  <c r="AE33" i="16"/>
  <c r="S34" i="16"/>
  <c r="AE34" i="16"/>
  <c r="S35" i="16"/>
  <c r="AE35" i="16"/>
  <c r="S36" i="16"/>
  <c r="AE36" i="16"/>
  <c r="S37" i="16"/>
  <c r="AE37" i="16"/>
  <c r="S38" i="16"/>
  <c r="AE38" i="16"/>
  <c r="S39" i="16"/>
  <c r="AE39" i="16"/>
  <c r="S40" i="16"/>
  <c r="AE40" i="16"/>
  <c r="S41" i="16"/>
  <c r="AE41" i="16"/>
  <c r="S42" i="16"/>
  <c r="AE42" i="16"/>
  <c r="S43" i="16"/>
  <c r="AE43" i="16"/>
  <c r="S44" i="16"/>
  <c r="AE44" i="16"/>
  <c r="S45" i="16"/>
  <c r="AE45" i="16"/>
  <c r="S46" i="16"/>
  <c r="AE46" i="16"/>
  <c r="S47" i="16"/>
  <c r="AE47" i="16"/>
  <c r="S48" i="16"/>
  <c r="AE48" i="16"/>
  <c r="S49" i="16"/>
  <c r="AE49" i="16"/>
  <c r="S50" i="16"/>
  <c r="AE50" i="16"/>
  <c r="S51" i="16"/>
  <c r="AE51" i="16"/>
  <c r="S52" i="16"/>
  <c r="AE52" i="16"/>
  <c r="S53" i="16"/>
  <c r="AE53" i="16"/>
  <c r="S54" i="16"/>
  <c r="AE54" i="16"/>
  <c r="S55" i="16"/>
  <c r="AE55" i="16"/>
  <c r="S56" i="16"/>
  <c r="AE56" i="16"/>
  <c r="S57" i="16"/>
  <c r="AE57" i="16"/>
  <c r="S58" i="16"/>
  <c r="AE58" i="16"/>
  <c r="S59" i="16"/>
  <c r="AE59" i="16"/>
  <c r="S60" i="16"/>
  <c r="AE60" i="16"/>
  <c r="S61" i="16"/>
  <c r="AE61" i="16"/>
  <c r="S62" i="16"/>
  <c r="AE62" i="16"/>
  <c r="S63" i="16"/>
  <c r="AE63" i="16"/>
  <c r="S64" i="16"/>
  <c r="AE64" i="16"/>
  <c r="S65" i="16"/>
  <c r="AE65" i="16"/>
  <c r="S66" i="16"/>
  <c r="AE66" i="16"/>
  <c r="S67" i="16"/>
  <c r="AE67" i="16"/>
  <c r="S68" i="16"/>
  <c r="AE68" i="16"/>
  <c r="S69" i="16"/>
  <c r="AE69" i="16"/>
  <c r="S70" i="16"/>
  <c r="AE70" i="16"/>
  <c r="S71" i="16"/>
  <c r="AE71" i="16"/>
  <c r="S72" i="16"/>
  <c r="AE72" i="16"/>
  <c r="S73" i="16"/>
  <c r="AE73" i="16"/>
  <c r="S74" i="16"/>
  <c r="AE74" i="16"/>
  <c r="S75" i="16"/>
  <c r="AE75" i="16"/>
  <c r="S76" i="16"/>
  <c r="AE76" i="16"/>
  <c r="S77" i="16"/>
  <c r="AE77" i="16"/>
  <c r="S78" i="16"/>
  <c r="AE78" i="16"/>
  <c r="S79" i="16"/>
  <c r="AE79" i="16"/>
  <c r="S80" i="16"/>
  <c r="AE80" i="16"/>
  <c r="S81" i="16"/>
  <c r="AE81" i="16"/>
  <c r="S82" i="16"/>
  <c r="AE82" i="16"/>
  <c r="S83" i="16"/>
  <c r="AE83" i="16"/>
  <c r="S84" i="16"/>
  <c r="AE84" i="16"/>
  <c r="S85" i="16"/>
  <c r="AE85" i="16"/>
  <c r="S86" i="16"/>
  <c r="AE86" i="16"/>
  <c r="S87" i="16"/>
  <c r="AE87" i="16"/>
  <c r="S88" i="16"/>
  <c r="AE88" i="16"/>
  <c r="S89" i="16"/>
  <c r="AE89" i="16"/>
  <c r="S90" i="16"/>
  <c r="AE90" i="16"/>
  <c r="S91" i="16"/>
  <c r="AE91" i="16"/>
  <c r="S92" i="16"/>
  <c r="AE92" i="16"/>
  <c r="S93" i="16"/>
  <c r="AE93" i="16"/>
  <c r="S94" i="16"/>
  <c r="AE94" i="16"/>
  <c r="S95" i="16"/>
  <c r="AE95" i="16"/>
  <c r="S96" i="16"/>
  <c r="AE96" i="16"/>
  <c r="S97" i="16"/>
  <c r="AE97" i="16"/>
  <c r="S98" i="16"/>
  <c r="AE98" i="16"/>
  <c r="S99" i="16"/>
  <c r="AE99" i="16"/>
  <c r="S100" i="16"/>
  <c r="AE100" i="16"/>
  <c r="S101" i="16"/>
  <c r="AE101" i="16"/>
  <c r="S102" i="16"/>
  <c r="AE102" i="16"/>
  <c r="S103" i="16"/>
  <c r="AE103" i="16"/>
  <c r="S104" i="16"/>
  <c r="AE104" i="16"/>
  <c r="S105" i="16"/>
  <c r="AE105" i="16"/>
  <c r="S106" i="16"/>
  <c r="AE106" i="16"/>
  <c r="S107" i="16"/>
  <c r="AE107" i="16"/>
  <c r="S108" i="16"/>
  <c r="AE108" i="16"/>
  <c r="S109" i="16"/>
  <c r="AE109" i="16"/>
  <c r="S110" i="16"/>
  <c r="AE110" i="16"/>
  <c r="S111" i="16"/>
  <c r="AE111" i="16"/>
  <c r="S112" i="16"/>
  <c r="AE112" i="16"/>
  <c r="S113" i="16"/>
  <c r="AE113" i="16"/>
  <c r="S114" i="16"/>
  <c r="AE114" i="16"/>
  <c r="T11" i="15"/>
  <c r="AE11" i="15"/>
  <c r="T12" i="15"/>
  <c r="AE12" i="15"/>
  <c r="T13" i="15"/>
  <c r="AE13" i="15"/>
  <c r="T14" i="15"/>
  <c r="AE14" i="15"/>
  <c r="T15" i="15"/>
  <c r="T16" i="15"/>
  <c r="T17" i="15"/>
  <c r="T18" i="15"/>
  <c r="T19" i="15"/>
  <c r="AE19" i="15"/>
  <c r="T20" i="15"/>
  <c r="AE20" i="15"/>
  <c r="T21" i="15"/>
  <c r="T22" i="15"/>
  <c r="T23" i="15"/>
  <c r="AE23" i="15"/>
  <c r="T24" i="15"/>
  <c r="T25" i="15"/>
  <c r="T26" i="15"/>
  <c r="AE26" i="15"/>
  <c r="T27" i="15"/>
  <c r="T28" i="15"/>
  <c r="T29" i="15"/>
  <c r="AE29" i="15"/>
  <c r="T30" i="15"/>
  <c r="AE30" i="15"/>
  <c r="G31" i="15"/>
  <c r="R31" i="15"/>
  <c r="T31" i="15"/>
  <c r="T32" i="15"/>
  <c r="T33" i="15"/>
  <c r="AE33" i="15"/>
  <c r="L34" i="15"/>
  <c r="T34" i="15"/>
  <c r="AE34" i="15"/>
  <c r="T35" i="15"/>
  <c r="AE35" i="15"/>
  <c r="K37" i="15"/>
  <c r="T37" i="15"/>
  <c r="O37" i="15"/>
  <c r="AE37" i="15"/>
  <c r="K38" i="15"/>
  <c r="T38" i="15"/>
  <c r="O38" i="15"/>
  <c r="AE38" i="15"/>
  <c r="T39" i="15"/>
  <c r="AE39" i="15"/>
  <c r="T40" i="15"/>
  <c r="T41" i="15"/>
  <c r="T74" i="15"/>
  <c r="AE41" i="15"/>
  <c r="T42" i="15"/>
  <c r="AE42" i="15"/>
  <c r="K43" i="15"/>
  <c r="T43" i="15"/>
  <c r="AE43" i="15"/>
  <c r="T44" i="15"/>
  <c r="AE44" i="15"/>
  <c r="I45" i="15"/>
  <c r="T45" i="15"/>
  <c r="AE45" i="15"/>
  <c r="T46" i="15"/>
  <c r="AE46" i="15"/>
  <c r="T47" i="15"/>
  <c r="AE47" i="15"/>
  <c r="T48" i="15"/>
  <c r="AE48" i="15"/>
  <c r="M49" i="15"/>
  <c r="T49" i="15"/>
  <c r="AE49" i="15"/>
  <c r="J50" i="15"/>
  <c r="T50" i="15"/>
  <c r="AE50" i="15"/>
  <c r="S51" i="15"/>
  <c r="T51" i="15"/>
  <c r="AE51" i="15"/>
  <c r="T52" i="15"/>
  <c r="AE52" i="15"/>
  <c r="T53" i="15"/>
  <c r="AE53" i="15"/>
  <c r="I54" i="15"/>
  <c r="J54" i="15"/>
  <c r="K54" i="15"/>
  <c r="L54" i="15"/>
  <c r="M54" i="15"/>
  <c r="N54" i="15"/>
  <c r="O54" i="15"/>
  <c r="P54" i="15"/>
  <c r="Q54" i="15"/>
  <c r="R54" i="15"/>
  <c r="AE54" i="15"/>
  <c r="P55" i="15"/>
  <c r="T55" i="15"/>
  <c r="AE55" i="15"/>
  <c r="T56" i="15"/>
  <c r="AE56" i="15"/>
  <c r="T57" i="15"/>
  <c r="AE57" i="15"/>
  <c r="T58" i="15"/>
  <c r="AE58" i="15"/>
  <c r="T59" i="15"/>
  <c r="AE59" i="15"/>
  <c r="T60" i="15"/>
  <c r="AE60" i="15"/>
  <c r="T61" i="15"/>
  <c r="AE61" i="15"/>
  <c r="T62" i="15"/>
  <c r="AE62" i="15"/>
  <c r="T63" i="15"/>
  <c r="AE63" i="15"/>
  <c r="T64" i="15"/>
  <c r="AE64" i="15"/>
  <c r="T65" i="15"/>
  <c r="AE65" i="15"/>
  <c r="T66" i="15"/>
  <c r="AE66" i="15"/>
  <c r="J67" i="15"/>
  <c r="K67" i="15"/>
  <c r="T67" i="15"/>
  <c r="P67" i="15"/>
  <c r="Q67" i="15"/>
  <c r="AE67" i="15"/>
  <c r="T68" i="15"/>
  <c r="AE68" i="15"/>
  <c r="T69" i="15"/>
  <c r="AE69" i="15"/>
  <c r="O71" i="15"/>
  <c r="T71" i="15"/>
  <c r="P71" i="15"/>
  <c r="Q71" i="15"/>
  <c r="AE71" i="15"/>
  <c r="T73" i="15"/>
  <c r="AF8" i="12"/>
  <c r="U50" i="12" s="1"/>
  <c r="T11" i="12"/>
  <c r="AF11" i="12"/>
  <c r="T12" i="12"/>
  <c r="AF12" i="12"/>
  <c r="T13" i="12"/>
  <c r="AF13" i="12"/>
  <c r="T14" i="12"/>
  <c r="T15" i="12"/>
  <c r="T16" i="12"/>
  <c r="T17" i="12"/>
  <c r="T18" i="12"/>
  <c r="AF18" i="12"/>
  <c r="T19" i="12"/>
  <c r="AF19" i="12"/>
  <c r="T20" i="12"/>
  <c r="T21" i="12"/>
  <c r="T22" i="12"/>
  <c r="AF22" i="12"/>
  <c r="T23" i="12"/>
  <c r="G25" i="12"/>
  <c r="P25" i="12"/>
  <c r="T25" i="12"/>
  <c r="AF25" i="12"/>
  <c r="I26" i="12"/>
  <c r="J26" i="12"/>
  <c r="K26" i="12"/>
  <c r="T26" i="12"/>
  <c r="L26" i="12"/>
  <c r="M26" i="12"/>
  <c r="N26" i="12"/>
  <c r="O26" i="12"/>
  <c r="AF26" i="12"/>
  <c r="T27" i="12"/>
  <c r="AF27" i="12"/>
  <c r="T28" i="12"/>
  <c r="AF28" i="12"/>
  <c r="T29" i="12"/>
  <c r="T30" i="12"/>
  <c r="AF30" i="12"/>
  <c r="T31" i="12"/>
  <c r="AF31" i="12"/>
  <c r="T32" i="12"/>
  <c r="AF32" i="12"/>
  <c r="T33" i="12"/>
  <c r="AF33" i="12"/>
  <c r="J34" i="12"/>
  <c r="K34" i="12"/>
  <c r="T34" i="12"/>
  <c r="P34" i="12"/>
  <c r="Q34" i="12"/>
  <c r="AF34" i="12"/>
  <c r="T35" i="12"/>
  <c r="AF35" i="12"/>
  <c r="T36" i="12"/>
  <c r="AF36" i="12"/>
  <c r="G37" i="12"/>
  <c r="T37" i="12"/>
  <c r="AF37" i="12"/>
  <c r="T38" i="12"/>
  <c r="AF38" i="12"/>
  <c r="L39" i="12"/>
  <c r="T39" i="12"/>
  <c r="AF39" i="12"/>
  <c r="T40" i="12"/>
  <c r="AF40" i="12"/>
  <c r="K41" i="12"/>
  <c r="O41" i="12"/>
  <c r="AF41" i="12"/>
  <c r="K42" i="12"/>
  <c r="T42" i="12"/>
  <c r="O42" i="12"/>
  <c r="AF42" i="12"/>
  <c r="T43" i="12"/>
  <c r="AF43" i="12"/>
  <c r="T44" i="12"/>
  <c r="T45" i="12"/>
  <c r="AF45" i="12"/>
  <c r="K46" i="12"/>
  <c r="T46" i="12"/>
  <c r="AF46" i="12"/>
  <c r="T47" i="12"/>
  <c r="AF47" i="12"/>
  <c r="T48" i="12"/>
  <c r="AF48" i="12"/>
  <c r="T49" i="12"/>
  <c r="AF49" i="12"/>
  <c r="T50" i="12"/>
  <c r="AF50" i="12"/>
  <c r="T51" i="12"/>
  <c r="AF51" i="12"/>
  <c r="M52" i="12"/>
  <c r="T52" i="12"/>
  <c r="AF52" i="12"/>
  <c r="J53" i="12"/>
  <c r="T53" i="12"/>
  <c r="AF53" i="12"/>
  <c r="T54" i="12"/>
  <c r="AF54" i="12"/>
  <c r="T55" i="12"/>
  <c r="AF55" i="12"/>
  <c r="T56" i="12"/>
  <c r="AF56" i="12"/>
  <c r="T57" i="12"/>
  <c r="AF57" i="12"/>
  <c r="T58" i="12"/>
  <c r="AF58" i="12"/>
  <c r="T59" i="12"/>
  <c r="AF59" i="12"/>
  <c r="T60" i="12"/>
  <c r="AF60" i="12"/>
  <c r="AF61" i="12"/>
  <c r="T62" i="12"/>
  <c r="AF62" i="12"/>
  <c r="T63" i="12"/>
  <c r="AF63" i="12"/>
  <c r="T64" i="12"/>
  <c r="AF64" i="12"/>
  <c r="T65" i="12"/>
  <c r="AF65" i="12"/>
  <c r="O66" i="12"/>
  <c r="T66" i="12"/>
  <c r="P66" i="12"/>
  <c r="Q66" i="12"/>
  <c r="AF66" i="12"/>
  <c r="T69" i="12"/>
  <c r="AF69" i="12"/>
  <c r="G41" i="8"/>
  <c r="G30" i="10"/>
  <c r="Q7" i="6"/>
  <c r="G13" i="6" s="1"/>
  <c r="R11" i="6"/>
  <c r="R12" i="6"/>
  <c r="R13" i="6"/>
  <c r="R14" i="6"/>
  <c r="R15" i="6"/>
  <c r="R16" i="6"/>
  <c r="R17" i="6"/>
  <c r="F18" i="6"/>
  <c r="R18" i="6"/>
  <c r="R19" i="6"/>
  <c r="R20" i="6"/>
  <c r="R21" i="6"/>
  <c r="R22" i="6"/>
  <c r="R23" i="6"/>
  <c r="R24" i="6"/>
  <c r="R25" i="6"/>
  <c r="R26" i="6"/>
  <c r="R27" i="6"/>
  <c r="R28" i="6"/>
  <c r="R29" i="6"/>
  <c r="R30" i="6"/>
  <c r="R31" i="6"/>
  <c r="R32" i="6"/>
  <c r="R33" i="6"/>
  <c r="R34" i="6"/>
  <c r="R35" i="6"/>
  <c r="R36" i="6"/>
  <c r="R37" i="6"/>
  <c r="F38" i="6"/>
  <c r="R38" i="6"/>
  <c r="R39" i="6"/>
  <c r="R40" i="6"/>
  <c r="R41" i="6"/>
  <c r="F42" i="6"/>
  <c r="R42" i="6"/>
  <c r="R43" i="6"/>
  <c r="R44" i="6"/>
  <c r="R45" i="6"/>
  <c r="R46" i="6"/>
  <c r="R47" i="6"/>
  <c r="R48" i="6"/>
  <c r="R49" i="6"/>
  <c r="R50" i="6"/>
  <c r="R51" i="6"/>
  <c r="F52" i="6"/>
  <c r="R52" i="6"/>
  <c r="R53" i="6"/>
  <c r="R54" i="6"/>
  <c r="R55" i="6"/>
  <c r="R56" i="6"/>
  <c r="R57" i="6"/>
  <c r="R58" i="6"/>
  <c r="H11" i="3"/>
  <c r="S11" i="3"/>
  <c r="H12" i="3"/>
  <c r="S12" i="3"/>
  <c r="H13" i="3"/>
  <c r="S13" i="3"/>
  <c r="H14" i="3"/>
  <c r="S14" i="3"/>
  <c r="H15" i="3"/>
  <c r="S15" i="3"/>
  <c r="H16" i="3"/>
  <c r="S16" i="3"/>
  <c r="H17" i="3"/>
  <c r="S17" i="3"/>
  <c r="H18" i="3"/>
  <c r="S18" i="3"/>
  <c r="H19" i="3"/>
  <c r="S19" i="3"/>
  <c r="H20" i="3"/>
  <c r="S20" i="3"/>
  <c r="H21" i="3"/>
  <c r="S21" i="3"/>
  <c r="H22" i="3"/>
  <c r="S22" i="3"/>
  <c r="H23" i="3"/>
  <c r="S23" i="3"/>
  <c r="H24" i="3"/>
  <c r="S24" i="3"/>
  <c r="H25" i="3"/>
  <c r="S25" i="3"/>
  <c r="H26" i="3"/>
  <c r="S26" i="3"/>
  <c r="H27" i="3"/>
  <c r="S27" i="3"/>
  <c r="H28" i="3"/>
  <c r="S28" i="3"/>
  <c r="H29" i="3"/>
  <c r="S29" i="3"/>
  <c r="H30" i="3"/>
  <c r="S30" i="3"/>
  <c r="H31" i="3"/>
  <c r="S31" i="3"/>
  <c r="H32" i="3"/>
  <c r="S32" i="3"/>
  <c r="H33" i="3"/>
  <c r="S33" i="3"/>
  <c r="H34" i="3"/>
  <c r="S34" i="3"/>
  <c r="H35" i="3"/>
  <c r="S35" i="3"/>
  <c r="H36" i="3"/>
  <c r="S36" i="3"/>
  <c r="H37" i="3"/>
  <c r="S37" i="3"/>
  <c r="H38" i="3"/>
  <c r="S38" i="3"/>
  <c r="H39" i="3"/>
  <c r="S39" i="3"/>
  <c r="H40" i="3"/>
  <c r="S40" i="3"/>
  <c r="H41" i="3"/>
  <c r="S41" i="3"/>
  <c r="H42" i="3"/>
  <c r="S42" i="3"/>
  <c r="H43" i="3"/>
  <c r="S43" i="3"/>
  <c r="H44" i="3"/>
  <c r="S44" i="3"/>
  <c r="H45" i="3"/>
  <c r="S45" i="3"/>
  <c r="H46" i="3"/>
  <c r="S46" i="3"/>
  <c r="H47" i="3"/>
  <c r="S47" i="3"/>
  <c r="H48" i="3"/>
  <c r="S48" i="3"/>
  <c r="H49" i="3"/>
  <c r="S49" i="3"/>
  <c r="H50" i="3"/>
  <c r="S50" i="3"/>
  <c r="H51" i="3"/>
  <c r="S51" i="3"/>
  <c r="H52" i="3"/>
  <c r="S52" i="3"/>
  <c r="H53" i="3"/>
  <c r="S53" i="3"/>
  <c r="H54" i="3"/>
  <c r="S54" i="3"/>
  <c r="G11" i="5"/>
  <c r="G12" i="5"/>
  <c r="R12" i="5"/>
  <c r="G13" i="5"/>
  <c r="R13" i="5"/>
  <c r="G14" i="5"/>
  <c r="R14" i="5"/>
  <c r="G15" i="5"/>
  <c r="R15" i="5"/>
  <c r="G16" i="5"/>
  <c r="R16" i="5"/>
  <c r="G17" i="5"/>
  <c r="R17" i="5"/>
  <c r="G18" i="5"/>
  <c r="R18" i="5"/>
  <c r="G19" i="5"/>
  <c r="R19" i="5"/>
  <c r="G20" i="5"/>
  <c r="R20" i="5"/>
  <c r="G21" i="5"/>
  <c r="R21" i="5"/>
  <c r="G22" i="5"/>
  <c r="R22" i="5"/>
  <c r="G23" i="5"/>
  <c r="R23" i="5"/>
  <c r="G24" i="5"/>
  <c r="R24" i="5"/>
  <c r="G25" i="5"/>
  <c r="R25" i="5"/>
  <c r="G26" i="5"/>
  <c r="R26" i="5"/>
  <c r="G27" i="5"/>
  <c r="R27" i="5"/>
  <c r="G28" i="5"/>
  <c r="R28" i="5"/>
  <c r="F29" i="5"/>
  <c r="G29" i="5"/>
  <c r="R29" i="5"/>
  <c r="G30" i="5"/>
  <c r="R30" i="5"/>
  <c r="G31" i="5"/>
  <c r="R31" i="5"/>
  <c r="G32" i="5"/>
  <c r="R32" i="5"/>
  <c r="F33" i="5"/>
  <c r="G33" i="5"/>
  <c r="R33" i="5"/>
  <c r="G34" i="5"/>
  <c r="R34" i="5"/>
  <c r="G35" i="5"/>
  <c r="R35" i="5"/>
  <c r="G36" i="5"/>
  <c r="R36" i="5"/>
  <c r="G37" i="5"/>
  <c r="R37" i="5"/>
  <c r="G38" i="5"/>
  <c r="R38" i="5"/>
  <c r="G39" i="5"/>
  <c r="R39" i="5"/>
  <c r="G40" i="5"/>
  <c r="R40" i="5"/>
  <c r="G41" i="5"/>
  <c r="R41" i="5"/>
  <c r="G42" i="5"/>
  <c r="R42" i="5"/>
  <c r="G43" i="5"/>
  <c r="R43" i="5"/>
  <c r="G44" i="5"/>
  <c r="R44" i="5"/>
  <c r="G45" i="5"/>
  <c r="R45" i="5"/>
  <c r="F46" i="5"/>
  <c r="G46" i="5"/>
  <c r="R46" i="5"/>
  <c r="G47" i="5"/>
  <c r="R47" i="5"/>
  <c r="G48" i="5"/>
  <c r="R48" i="5"/>
  <c r="G49" i="5"/>
  <c r="R49" i="5"/>
  <c r="G50" i="5"/>
  <c r="R50" i="5"/>
  <c r="G51" i="5"/>
  <c r="R51" i="5"/>
  <c r="R52" i="5"/>
  <c r="E10" i="4"/>
  <c r="E13" i="4"/>
  <c r="E32" i="4"/>
  <c r="H11" i="2"/>
  <c r="S11" i="2"/>
  <c r="H12" i="2"/>
  <c r="S12" i="2"/>
  <c r="G13" i="2"/>
  <c r="H13" i="2"/>
  <c r="S13" i="2"/>
  <c r="H14" i="2"/>
  <c r="S14" i="2"/>
  <c r="H15" i="2"/>
  <c r="S15" i="2"/>
  <c r="H16" i="2"/>
  <c r="S16" i="2"/>
  <c r="H17" i="2"/>
  <c r="S17" i="2"/>
  <c r="G18" i="2"/>
  <c r="H18" i="2"/>
  <c r="S18" i="2"/>
  <c r="H19" i="2"/>
  <c r="S19" i="2"/>
  <c r="H20" i="2"/>
  <c r="S20" i="2"/>
  <c r="H21" i="2"/>
  <c r="S21" i="2"/>
  <c r="H22" i="2"/>
  <c r="S22" i="2"/>
  <c r="H23" i="2"/>
  <c r="S23" i="2"/>
  <c r="H24" i="2"/>
  <c r="S24" i="2"/>
  <c r="H25" i="2"/>
  <c r="S25" i="2"/>
  <c r="H26" i="2"/>
  <c r="S26" i="2"/>
  <c r="H27" i="2"/>
  <c r="S27" i="2"/>
  <c r="H28" i="2"/>
  <c r="S28" i="2"/>
  <c r="H29" i="2"/>
  <c r="S29" i="2"/>
  <c r="H30" i="2"/>
  <c r="S30" i="2"/>
  <c r="H31" i="2"/>
  <c r="S31" i="2"/>
  <c r="H32" i="2"/>
  <c r="S32" i="2"/>
  <c r="H33" i="2"/>
  <c r="S33" i="2"/>
  <c r="G34" i="2"/>
  <c r="H34" i="2"/>
  <c r="H35" i="2"/>
  <c r="S35" i="2"/>
  <c r="H36" i="2"/>
  <c r="S36" i="2"/>
  <c r="H37" i="2"/>
  <c r="S37" i="2"/>
  <c r="H38" i="2"/>
  <c r="S38" i="2"/>
  <c r="H39" i="2"/>
  <c r="S39" i="2"/>
  <c r="H40" i="2"/>
  <c r="S40" i="2"/>
  <c r="H41" i="2"/>
  <c r="S41" i="2"/>
  <c r="H42" i="2"/>
  <c r="S42" i="2"/>
  <c r="H43" i="2"/>
  <c r="S43" i="2"/>
  <c r="H44" i="2"/>
  <c r="S44" i="2"/>
  <c r="H45" i="2"/>
  <c r="S45" i="2"/>
  <c r="H46" i="2"/>
  <c r="S46" i="2"/>
  <c r="H47" i="2"/>
  <c r="S47" i="2"/>
  <c r="H48" i="2"/>
  <c r="S48" i="2"/>
  <c r="H49" i="2"/>
  <c r="S49" i="2"/>
  <c r="H50" i="2"/>
  <c r="S50" i="2"/>
  <c r="H51" i="2"/>
  <c r="S51" i="2"/>
  <c r="H52" i="2"/>
  <c r="S52" i="2"/>
  <c r="H53" i="2"/>
  <c r="S53" i="2"/>
  <c r="H54" i="2"/>
  <c r="S54" i="2"/>
  <c r="H55" i="2"/>
  <c r="S55" i="2"/>
  <c r="Q11" i="1"/>
  <c r="Q12" i="1"/>
  <c r="Q13" i="1"/>
  <c r="Q14" i="1"/>
  <c r="Q15" i="1"/>
  <c r="Q16" i="1"/>
  <c r="Q17" i="1"/>
  <c r="Q18" i="1"/>
  <c r="Q19" i="1"/>
  <c r="Q20" i="1"/>
  <c r="Q21" i="1"/>
  <c r="Q22" i="1"/>
  <c r="F23" i="1"/>
  <c r="Q23" i="1"/>
  <c r="Q24" i="1"/>
  <c r="F25" i="1"/>
  <c r="Q25" i="1"/>
  <c r="Q26" i="1"/>
  <c r="F27" i="1"/>
  <c r="Q27" i="1"/>
  <c r="Q28" i="1"/>
  <c r="Q29" i="1"/>
  <c r="Q30" i="1"/>
  <c r="Q31" i="1"/>
  <c r="Q32" i="1"/>
  <c r="Q33" i="1"/>
  <c r="Q34" i="1"/>
  <c r="Q35" i="1"/>
  <c r="F36" i="1"/>
  <c r="Q36" i="1"/>
  <c r="F37" i="1"/>
  <c r="Q37" i="1"/>
  <c r="Q38" i="1"/>
  <c r="Q39" i="1"/>
  <c r="Q40" i="1"/>
  <c r="Q41" i="1"/>
  <c r="Q42" i="1"/>
  <c r="Q43" i="1"/>
  <c r="Q44" i="1"/>
  <c r="Q45" i="1"/>
  <c r="F46" i="1"/>
  <c r="Q46" i="1"/>
  <c r="Q47" i="1"/>
  <c r="Q48" i="1"/>
  <c r="Q49" i="1"/>
  <c r="Q50" i="1"/>
  <c r="F51" i="1"/>
  <c r="Q51" i="1"/>
  <c r="Q52" i="1"/>
  <c r="Q53" i="1"/>
  <c r="S10" i="27"/>
  <c r="S14" i="27"/>
  <c r="S18" i="27"/>
  <c r="S12" i="27"/>
  <c r="S53" i="27"/>
  <c r="S17" i="23"/>
  <c r="S74" i="22"/>
  <c r="S126" i="25"/>
  <c r="S66" i="26"/>
  <c r="S84" i="22"/>
  <c r="S43" i="25"/>
  <c r="S32" i="22"/>
  <c r="S48" i="25"/>
  <c r="S24" i="25"/>
  <c r="S33" i="26"/>
  <c r="S64" i="27"/>
  <c r="T54" i="18"/>
  <c r="S101" i="26"/>
  <c r="T54" i="15"/>
  <c r="S46" i="21"/>
  <c r="S57" i="22"/>
  <c r="S49" i="22"/>
  <c r="S58" i="23"/>
  <c r="S38" i="23"/>
  <c r="S25" i="23"/>
  <c r="S113" i="26"/>
  <c r="T41" i="12"/>
  <c r="S24" i="23"/>
  <c r="S23" i="25"/>
  <c r="S35" i="23"/>
  <c r="T70" i="12"/>
  <c r="T38" i="18"/>
  <c r="S37" i="22"/>
  <c r="S45" i="24"/>
  <c r="T67" i="18"/>
  <c r="T74" i="18"/>
  <c r="S77" i="21"/>
  <c r="S63" i="21"/>
  <c r="S27" i="21"/>
  <c r="S26" i="22"/>
  <c r="S52" i="23"/>
  <c r="S40" i="23"/>
  <c r="S29" i="23"/>
  <c r="S14" i="23"/>
  <c r="S64" i="24"/>
  <c r="S53" i="24"/>
  <c r="S14" i="24"/>
  <c r="S30" i="25"/>
  <c r="S157" i="27"/>
  <c r="T215" i="26"/>
  <c r="T55" i="26"/>
  <c r="T112" i="26"/>
  <c r="T64" i="26"/>
  <c r="T131" i="26"/>
  <c r="T81" i="26"/>
  <c r="T107" i="26"/>
  <c r="T57" i="26"/>
  <c r="T101" i="26"/>
  <c r="T175" i="26"/>
  <c r="T62" i="26"/>
  <c r="T161" i="26"/>
  <c r="T17" i="26"/>
  <c r="T142" i="26"/>
  <c r="T83" i="26"/>
  <c r="T231" i="26"/>
  <c r="T6" i="26"/>
  <c r="T108" i="26"/>
  <c r="T66" i="26"/>
  <c r="T119" i="26"/>
  <c r="T143" i="26"/>
  <c r="T205" i="26"/>
  <c r="T134" i="26"/>
  <c r="T125" i="26"/>
  <c r="T46" i="26"/>
  <c r="T102" i="26"/>
  <c r="T152" i="26"/>
  <c r="T236" i="26"/>
  <c r="T78" i="26"/>
  <c r="T198" i="26"/>
  <c r="T238" i="26"/>
  <c r="T35" i="26"/>
  <c r="T132" i="26"/>
  <c r="T176" i="26"/>
  <c r="T154" i="26"/>
  <c r="T229" i="26"/>
  <c r="T208" i="26"/>
  <c r="T80" i="26"/>
  <c r="T60" i="26"/>
  <c r="T153" i="26"/>
  <c r="T69" i="26"/>
  <c r="T242" i="26"/>
  <c r="T147" i="26"/>
  <c r="T226" i="26"/>
  <c r="T44" i="26"/>
  <c r="T24" i="27"/>
  <c r="T77" i="27"/>
  <c r="T130" i="27"/>
  <c r="T134" i="27"/>
  <c r="T155" i="27"/>
  <c r="T188" i="27"/>
  <c r="T154" i="27"/>
  <c r="T22" i="27"/>
  <c r="T210" i="27"/>
  <c r="T66" i="27"/>
  <c r="T190" i="27"/>
  <c r="T29" i="27"/>
  <c r="T165" i="27"/>
  <c r="T70" i="27"/>
  <c r="T189" i="27"/>
  <c r="T93" i="27"/>
  <c r="T76" i="26"/>
  <c r="T186" i="26"/>
  <c r="T24" i="26"/>
  <c r="T77" i="26"/>
  <c r="T36" i="26"/>
  <c r="T243" i="26"/>
  <c r="T163" i="26"/>
  <c r="T92" i="26"/>
  <c r="T218" i="26"/>
  <c r="T138" i="26"/>
  <c r="T90" i="26"/>
  <c r="T41" i="26"/>
  <c r="T40" i="26"/>
  <c r="T139" i="26"/>
  <c r="T27" i="26"/>
  <c r="T15" i="26"/>
  <c r="T45" i="26"/>
  <c r="T32" i="26"/>
  <c r="T109" i="26"/>
  <c r="T213" i="26"/>
  <c r="T185" i="26"/>
  <c r="T28" i="26"/>
  <c r="T149" i="26"/>
  <c r="T194" i="26"/>
  <c r="T195" i="26"/>
  <c r="T104" i="26"/>
  <c r="T115" i="26"/>
  <c r="T93" i="26"/>
  <c r="T111" i="26"/>
  <c r="T200" i="26"/>
  <c r="T114" i="26"/>
  <c r="T128" i="26"/>
  <c r="T31" i="26"/>
  <c r="T118" i="26"/>
  <c r="T187" i="26"/>
  <c r="T143" i="27"/>
  <c r="T176" i="27"/>
  <c r="T148" i="27"/>
  <c r="T103" i="27"/>
  <c r="T30" i="26"/>
  <c r="T72" i="26"/>
  <c r="T103" i="26"/>
  <c r="T180" i="26"/>
  <c r="T173" i="26"/>
  <c r="T216" i="26"/>
  <c r="T234" i="26"/>
  <c r="T100" i="26"/>
  <c r="T220" i="26"/>
  <c r="T74" i="26"/>
  <c r="T70" i="26"/>
  <c r="T106" i="26"/>
  <c r="T210" i="26"/>
  <c r="T214" i="26"/>
  <c r="T211" i="26"/>
  <c r="T155" i="26"/>
  <c r="T37" i="27"/>
  <c r="T40" i="27"/>
  <c r="T111" i="27"/>
  <c r="T79" i="27"/>
  <c r="T140" i="27"/>
  <c r="T241" i="26"/>
  <c r="T230" i="26"/>
  <c r="T183" i="26"/>
  <c r="T33" i="26"/>
  <c r="T130" i="26"/>
  <c r="T8" i="26"/>
  <c r="T14" i="26"/>
  <c r="T148" i="26"/>
  <c r="T42" i="26"/>
  <c r="T67" i="26"/>
  <c r="T150" i="26"/>
  <c r="T206" i="26"/>
  <c r="T217" i="26"/>
  <c r="T89" i="26"/>
  <c r="T133" i="26"/>
  <c r="T19" i="26"/>
  <c r="T137" i="26"/>
  <c r="T184" i="26"/>
  <c r="T146" i="26"/>
  <c r="T95" i="26"/>
  <c r="T51" i="26"/>
  <c r="T149" i="27"/>
  <c r="T129" i="27"/>
  <c r="T216" i="27"/>
  <c r="T175" i="27"/>
  <c r="T198" i="27"/>
  <c r="T121" i="27"/>
  <c r="T48" i="26"/>
  <c r="T33" i="27"/>
  <c r="T41" i="27"/>
  <c r="T80" i="27"/>
  <c r="T62" i="27"/>
  <c r="T128" i="27"/>
  <c r="T28" i="27"/>
  <c r="T141" i="27"/>
  <c r="T55" i="27"/>
  <c r="T98" i="27"/>
  <c r="T193" i="27"/>
  <c r="T212" i="27"/>
  <c r="T16" i="27"/>
  <c r="T74" i="27"/>
  <c r="T161" i="27"/>
  <c r="T25" i="27"/>
  <c r="T153" i="27"/>
  <c r="T124" i="27"/>
  <c r="T158" i="27"/>
  <c r="T171" i="27"/>
  <c r="T110" i="27"/>
  <c r="T86" i="27"/>
  <c r="T51" i="27"/>
  <c r="T96" i="27"/>
  <c r="T179" i="27"/>
  <c r="T209" i="27"/>
  <c r="T17" i="27"/>
  <c r="T58" i="27"/>
  <c r="T106" i="27"/>
  <c r="T65" i="27"/>
  <c r="T68" i="27"/>
  <c r="T125" i="27"/>
  <c r="T90" i="27"/>
  <c r="T137" i="27"/>
  <c r="T59" i="27"/>
  <c r="T178" i="27"/>
  <c r="T19" i="27"/>
  <c r="T97" i="27"/>
  <c r="T50" i="26"/>
  <c r="T190" i="26"/>
  <c r="T103" i="24"/>
  <c r="T112" i="24"/>
  <c r="T86" i="24"/>
  <c r="T148" i="24"/>
  <c r="T118" i="24"/>
  <c r="T36" i="24"/>
  <c r="T12" i="24"/>
  <c r="T122" i="24"/>
  <c r="T102" i="24"/>
  <c r="T83" i="24"/>
  <c r="T111" i="24"/>
  <c r="T98" i="24"/>
  <c r="T69" i="24"/>
  <c r="T156" i="24"/>
  <c r="T157" i="24"/>
  <c r="T10" i="24"/>
  <c r="T143" i="24"/>
  <c r="T28" i="24"/>
  <c r="T125" i="24"/>
  <c r="T154" i="24"/>
  <c r="T71" i="24"/>
  <c r="T150" i="24"/>
  <c r="T30" i="24"/>
  <c r="T14" i="24"/>
  <c r="T44" i="24"/>
  <c r="T49" i="24"/>
  <c r="T80" i="24"/>
  <c r="T34" i="24"/>
  <c r="T68" i="24"/>
  <c r="T136" i="24"/>
  <c r="T53" i="24"/>
  <c r="T41" i="24"/>
  <c r="T70" i="24"/>
  <c r="T134" i="24"/>
  <c r="T32" i="24"/>
  <c r="T31" i="24"/>
  <c r="T19" i="24"/>
  <c r="T90" i="24"/>
  <c r="T151" i="24"/>
  <c r="T8" i="24"/>
  <c r="T96" i="24"/>
  <c r="T43" i="24"/>
  <c r="T58" i="24"/>
  <c r="T62" i="24"/>
  <c r="T45" i="24"/>
  <c r="T9" i="24"/>
  <c r="T57" i="24"/>
  <c r="T94" i="24"/>
  <c r="T108" i="24"/>
  <c r="T105" i="24"/>
  <c r="T46" i="24"/>
  <c r="T95" i="24"/>
  <c r="T137" i="24"/>
  <c r="T37" i="24"/>
  <c r="T97" i="24"/>
  <c r="T21" i="24"/>
  <c r="T100" i="24"/>
  <c r="T29" i="24"/>
  <c r="T129" i="24"/>
  <c r="T66" i="24"/>
  <c r="T47" i="24"/>
  <c r="T146" i="24"/>
  <c r="T50" i="24"/>
  <c r="T155" i="24"/>
  <c r="T18" i="24"/>
  <c r="T7" i="24"/>
  <c r="T138" i="24"/>
  <c r="T22" i="24"/>
  <c r="T24" i="24"/>
  <c r="T73" i="24"/>
  <c r="T113" i="24"/>
  <c r="T91" i="24"/>
  <c r="T93" i="24"/>
  <c r="T153" i="24"/>
  <c r="T117" i="24"/>
  <c r="T20" i="24"/>
  <c r="T161" i="24"/>
  <c r="T132" i="24"/>
  <c r="T160" i="24"/>
  <c r="T67" i="24"/>
  <c r="T127" i="24"/>
  <c r="T61" i="24"/>
  <c r="T35" i="24"/>
  <c r="T42" i="24"/>
  <c r="T25" i="24"/>
  <c r="T104" i="24"/>
  <c r="T51" i="24"/>
  <c r="T99" i="24"/>
  <c r="T119" i="24"/>
  <c r="T107" i="24"/>
  <c r="T133" i="24"/>
  <c r="T135" i="24"/>
  <c r="T38" i="24"/>
  <c r="T145" i="24"/>
  <c r="T84" i="24"/>
  <c r="T27" i="24"/>
  <c r="T131" i="24"/>
  <c r="T11" i="24"/>
  <c r="T126" i="24"/>
  <c r="T124" i="24"/>
  <c r="T48" i="24"/>
  <c r="T52" i="24"/>
  <c r="T60" i="24"/>
  <c r="T116" i="24"/>
  <c r="T75" i="24"/>
  <c r="T101" i="24"/>
  <c r="T64" i="24"/>
  <c r="T159" i="24"/>
  <c r="T85" i="24"/>
  <c r="T87" i="24"/>
  <c r="T130" i="24"/>
  <c r="T139" i="24"/>
  <c r="T162" i="24"/>
  <c r="T78" i="24"/>
  <c r="T77" i="24"/>
  <c r="T55" i="24"/>
  <c r="T72" i="24"/>
  <c r="T33" i="24"/>
  <c r="T26" i="24"/>
  <c r="T92" i="24"/>
  <c r="T76" i="24"/>
  <c r="T65" i="24"/>
  <c r="T81" i="24"/>
  <c r="T152" i="24"/>
  <c r="T89" i="24"/>
  <c r="T82" i="24"/>
  <c r="T59" i="24"/>
  <c r="T147" i="24"/>
  <c r="T114" i="24"/>
  <c r="T6" i="24"/>
  <c r="T79" i="24"/>
  <c r="T121" i="24"/>
  <c r="T128" i="24"/>
  <c r="T142" i="24"/>
  <c r="T144" i="24"/>
  <c r="T192" i="26"/>
  <c r="T96" i="26"/>
  <c r="T84" i="26"/>
  <c r="T140" i="26"/>
  <c r="T167" i="26"/>
  <c r="T20" i="26"/>
  <c r="T182" i="26"/>
  <c r="T162" i="26"/>
  <c r="T85" i="26"/>
  <c r="T71" i="26"/>
  <c r="T244" i="26"/>
  <c r="T53" i="26"/>
  <c r="T207" i="26"/>
  <c r="T174" i="26"/>
  <c r="T157" i="26"/>
  <c r="T246" i="26"/>
  <c r="T54" i="26"/>
  <c r="T203" i="26"/>
  <c r="T126" i="26"/>
  <c r="T222" i="26"/>
  <c r="T240" i="26"/>
  <c r="T75" i="26"/>
  <c r="T209" i="26"/>
  <c r="T16" i="26"/>
  <c r="T94" i="26"/>
  <c r="T49" i="26"/>
  <c r="T177" i="26"/>
  <c r="T23" i="26"/>
  <c r="T159" i="26"/>
  <c r="T113" i="26"/>
  <c r="T124" i="26"/>
  <c r="T22" i="26"/>
  <c r="T110" i="26"/>
  <c r="T122" i="26"/>
  <c r="T39" i="26"/>
  <c r="T58" i="26"/>
  <c r="T63" i="26"/>
  <c r="T170" i="26"/>
  <c r="T7" i="26"/>
  <c r="T120" i="26"/>
  <c r="T56" i="26"/>
  <c r="T151" i="26"/>
  <c r="T116" i="26"/>
  <c r="T196" i="26"/>
  <c r="T73" i="26"/>
  <c r="T221" i="26"/>
  <c r="T227" i="26"/>
  <c r="T225" i="26"/>
  <c r="T38" i="26"/>
  <c r="T18" i="26"/>
  <c r="T47" i="26"/>
  <c r="T129" i="26"/>
  <c r="T197" i="26"/>
  <c r="T219" i="26"/>
  <c r="T204" i="26"/>
  <c r="T29" i="26"/>
  <c r="T99" i="26"/>
  <c r="T141" i="26"/>
  <c r="T160" i="26"/>
  <c r="T65" i="26"/>
  <c r="T61" i="26"/>
  <c r="T82" i="26"/>
  <c r="T86" i="26"/>
  <c r="T181" i="26"/>
  <c r="T79" i="26"/>
  <c r="T135" i="26"/>
  <c r="T25" i="26"/>
  <c r="T59" i="26"/>
  <c r="T145" i="26"/>
  <c r="T37" i="26"/>
  <c r="T12" i="26"/>
  <c r="T98" i="26"/>
  <c r="T188" i="26"/>
  <c r="T156" i="26"/>
  <c r="T88" i="26"/>
  <c r="T212" i="26"/>
  <c r="T223" i="26"/>
  <c r="T127" i="26"/>
  <c r="T245" i="26"/>
  <c r="T21" i="26"/>
  <c r="T117" i="26"/>
  <c r="T87" i="26"/>
  <c r="T171" i="26"/>
  <c r="T169" i="26"/>
  <c r="T168" i="26"/>
  <c r="T144" i="26"/>
  <c r="T91" i="26"/>
  <c r="T228" i="26"/>
  <c r="T237" i="26"/>
  <c r="T13" i="26"/>
  <c r="T172" i="26"/>
  <c r="T105" i="26"/>
  <c r="T199" i="26"/>
  <c r="T26" i="26"/>
  <c r="T165" i="26"/>
  <c r="T233" i="26"/>
  <c r="T34" i="26"/>
  <c r="T239" i="26"/>
  <c r="T191" i="26"/>
  <c r="T189" i="26"/>
  <c r="T232" i="26"/>
  <c r="T68" i="26"/>
  <c r="T202" i="26"/>
  <c r="T43" i="26"/>
  <c r="T201" i="26"/>
  <c r="T158" i="26"/>
  <c r="T97" i="26"/>
  <c r="T166" i="26"/>
  <c r="T136" i="26"/>
  <c r="T235" i="26"/>
  <c r="T179" i="26"/>
  <c r="T193" i="26"/>
  <c r="T247" i="26"/>
  <c r="T164" i="26"/>
  <c r="T224" i="26"/>
  <c r="T121" i="26"/>
  <c r="T178" i="26"/>
  <c r="T123" i="26"/>
  <c r="T52" i="26"/>
  <c r="T74" i="24"/>
  <c r="T63" i="24"/>
  <c r="T140" i="24"/>
  <c r="T120" i="24"/>
  <c r="T23" i="24"/>
  <c r="T158" i="24"/>
  <c r="T39" i="24"/>
  <c r="T88" i="24"/>
  <c r="T54" i="24"/>
  <c r="T110" i="24"/>
  <c r="T141" i="24"/>
  <c r="T15" i="24"/>
  <c r="T123" i="24"/>
  <c r="T109" i="24"/>
  <c r="T40" i="24"/>
  <c r="T115" i="24"/>
  <c r="T56" i="24"/>
  <c r="T116" i="27" l="1"/>
  <c r="T162" i="27"/>
  <c r="T61" i="27"/>
  <c r="T120" i="27"/>
  <c r="T45" i="27"/>
  <c r="T54" i="27"/>
  <c r="T64" i="27"/>
  <c r="T50" i="27"/>
  <c r="T135" i="27"/>
  <c r="T213" i="27"/>
  <c r="T27" i="27"/>
  <c r="T159" i="27"/>
  <c r="T43" i="27"/>
  <c r="T191" i="27"/>
  <c r="T127" i="27"/>
  <c r="T42" i="27"/>
  <c r="T72" i="27"/>
  <c r="T44" i="27"/>
  <c r="T202" i="27"/>
  <c r="T78" i="27"/>
  <c r="T223" i="27"/>
  <c r="T73" i="27"/>
  <c r="T147" i="27"/>
  <c r="T63" i="27"/>
  <c r="T18" i="27"/>
  <c r="T185" i="27"/>
  <c r="T35" i="27"/>
  <c r="T169" i="27"/>
  <c r="T88" i="27"/>
  <c r="T114" i="27"/>
  <c r="T71" i="27"/>
  <c r="T142" i="27"/>
  <c r="T76" i="27"/>
  <c r="T194" i="27"/>
  <c r="T38" i="27"/>
  <c r="T21" i="27"/>
  <c r="T172" i="27"/>
  <c r="T131" i="27"/>
  <c r="T113" i="27"/>
  <c r="T211" i="27"/>
  <c r="T100" i="27"/>
  <c r="T144" i="27"/>
  <c r="T170" i="27"/>
  <c r="T94" i="27"/>
  <c r="T47" i="27"/>
  <c r="T122" i="27"/>
  <c r="T34" i="27"/>
  <c r="T152" i="27"/>
  <c r="T13" i="27"/>
  <c r="T200" i="27"/>
  <c r="T138" i="27"/>
  <c r="T220" i="27"/>
  <c r="T10" i="27"/>
  <c r="T119" i="27"/>
  <c r="T84" i="27"/>
  <c r="T132" i="27"/>
  <c r="T146" i="27"/>
  <c r="T48" i="27"/>
  <c r="T75" i="27"/>
  <c r="T31" i="27"/>
  <c r="T102" i="27"/>
  <c r="T186" i="27"/>
  <c r="T46" i="27"/>
  <c r="T32" i="27"/>
  <c r="T183" i="27"/>
  <c r="T205" i="27"/>
  <c r="T204" i="27"/>
  <c r="T167" i="27"/>
  <c r="T173" i="27"/>
  <c r="T12" i="27"/>
  <c r="T20" i="27"/>
  <c r="T218" i="27"/>
  <c r="T109" i="27"/>
  <c r="T23" i="27"/>
  <c r="T184" i="27"/>
  <c r="T36" i="27"/>
  <c r="T222" i="27"/>
  <c r="T139" i="27"/>
  <c r="T81" i="27"/>
  <c r="T91" i="27"/>
  <c r="T203" i="27"/>
  <c r="T207" i="27"/>
  <c r="T219" i="27"/>
  <c r="T214" i="27"/>
  <c r="T151" i="27"/>
  <c r="T15" i="27"/>
  <c r="T101" i="27"/>
  <c r="T60" i="27"/>
  <c r="T157" i="27"/>
  <c r="T95" i="27"/>
  <c r="T150" i="27"/>
  <c r="T145" i="27"/>
  <c r="T43" i="22"/>
  <c r="G45" i="6"/>
  <c r="T30" i="27"/>
  <c r="T107" i="27"/>
  <c r="T49" i="27"/>
  <c r="T57" i="27"/>
  <c r="T201" i="27"/>
  <c r="T56" i="27"/>
  <c r="T206" i="27"/>
  <c r="T123" i="27"/>
  <c r="T14" i="27"/>
  <c r="T215" i="27"/>
  <c r="T39" i="27"/>
  <c r="T67" i="27"/>
  <c r="T83" i="27"/>
  <c r="T53" i="27"/>
  <c r="T164" i="27"/>
  <c r="T105" i="27"/>
  <c r="T181" i="27"/>
  <c r="T177" i="27"/>
  <c r="T85" i="27"/>
  <c r="T126" i="27"/>
  <c r="T117" i="27"/>
  <c r="T108" i="27"/>
  <c r="T156" i="27"/>
  <c r="T115" i="27"/>
  <c r="T136" i="27"/>
  <c r="T187" i="27"/>
  <c r="T26" i="27"/>
  <c r="T104" i="27"/>
  <c r="T52" i="27"/>
  <c r="T163" i="27"/>
  <c r="T166" i="27"/>
  <c r="T11" i="27"/>
  <c r="T180" i="27"/>
  <c r="T196" i="27"/>
  <c r="T197" i="27"/>
  <c r="T195" i="27"/>
  <c r="T174" i="27"/>
  <c r="T192" i="27"/>
  <c r="T133" i="27"/>
  <c r="T82" i="27"/>
  <c r="T221" i="27"/>
  <c r="T168" i="27"/>
  <c r="T199" i="27"/>
  <c r="T99" i="27"/>
  <c r="T160" i="27"/>
  <c r="T69" i="27"/>
  <c r="T9" i="27"/>
  <c r="T118" i="27"/>
  <c r="T182" i="27"/>
  <c r="T217" i="27"/>
  <c r="T89" i="27"/>
  <c r="T208" i="27"/>
  <c r="T87" i="27"/>
  <c r="T112" i="27"/>
  <c r="T14" i="22"/>
  <c r="T59" i="22"/>
  <c r="T72" i="22"/>
  <c r="T55" i="22"/>
  <c r="T40" i="22"/>
  <c r="T81" i="22"/>
  <c r="T79" i="22"/>
  <c r="T78" i="22"/>
  <c r="T132" i="22"/>
  <c r="T20" i="22"/>
  <c r="T34" i="22"/>
  <c r="T91" i="22"/>
  <c r="T94" i="22"/>
  <c r="T11" i="22"/>
  <c r="T124" i="22"/>
  <c r="T85" i="22"/>
  <c r="T46" i="22"/>
  <c r="T123" i="22"/>
  <c r="T130" i="22"/>
  <c r="T126" i="22"/>
  <c r="T42" i="22"/>
  <c r="T110" i="22"/>
  <c r="T131" i="22"/>
  <c r="T45" i="22"/>
  <c r="T127" i="22"/>
  <c r="T53" i="22"/>
  <c r="T88" i="22"/>
  <c r="T37" i="22"/>
  <c r="T58" i="22"/>
  <c r="T31" i="22"/>
  <c r="T41" i="16"/>
  <c r="T65" i="16"/>
  <c r="T47" i="16"/>
  <c r="T8" i="16"/>
  <c r="T104" i="16"/>
  <c r="T30" i="16"/>
  <c r="T64" i="16"/>
  <c r="T92" i="22"/>
  <c r="T100" i="22"/>
  <c r="T89" i="22"/>
  <c r="T64" i="22"/>
  <c r="T24" i="22"/>
  <c r="T96" i="22"/>
  <c r="T125" i="22"/>
  <c r="T71" i="22"/>
  <c r="T21" i="22"/>
  <c r="T19" i="22"/>
  <c r="T8" i="22"/>
  <c r="T128" i="22"/>
  <c r="T69" i="22"/>
  <c r="T83" i="22"/>
  <c r="T56" i="22"/>
  <c r="T99" i="22"/>
  <c r="T20" i="16"/>
  <c r="T66" i="16"/>
  <c r="T7" i="16"/>
  <c r="T23" i="16"/>
  <c r="T26" i="16"/>
  <c r="T112" i="16"/>
  <c r="T81" i="16"/>
  <c r="T109" i="16"/>
  <c r="T33" i="16"/>
  <c r="T28" i="22"/>
  <c r="T76" i="22"/>
  <c r="T106" i="22"/>
  <c r="T104" i="22"/>
  <c r="T108" i="22"/>
  <c r="T70" i="22"/>
  <c r="T103" i="22"/>
  <c r="T9" i="22"/>
  <c r="T97" i="22"/>
  <c r="T12" i="22"/>
  <c r="T49" i="22"/>
  <c r="T57" i="22"/>
  <c r="T105" i="22"/>
  <c r="T118" i="22"/>
  <c r="T67" i="22"/>
  <c r="T98" i="22"/>
  <c r="T114" i="16"/>
  <c r="T6" i="16"/>
  <c r="T105" i="16"/>
  <c r="T18" i="22"/>
  <c r="T83" i="16"/>
  <c r="T74" i="16"/>
  <c r="T40" i="16"/>
  <c r="T65" i="22"/>
  <c r="T115" i="22"/>
  <c r="T112" i="22"/>
  <c r="T116" i="22"/>
  <c r="T44" i="22"/>
  <c r="T66" i="22"/>
  <c r="T30" i="22"/>
  <c r="T63" i="22"/>
  <c r="T17" i="22"/>
  <c r="T52" i="22"/>
  <c r="T82" i="22"/>
  <c r="T129" i="22"/>
  <c r="T74" i="22"/>
  <c r="T134" i="22"/>
  <c r="T61" i="22"/>
  <c r="T6" i="22"/>
  <c r="T109" i="22"/>
  <c r="T73" i="22"/>
  <c r="T120" i="22"/>
  <c r="T38" i="22"/>
  <c r="T23" i="22"/>
  <c r="T60" i="22"/>
  <c r="T16" i="22"/>
  <c r="T48" i="22"/>
  <c r="T7" i="22"/>
  <c r="T62" i="22"/>
  <c r="T39" i="22"/>
  <c r="T117" i="22"/>
  <c r="T29" i="22"/>
  <c r="T121" i="22"/>
  <c r="T53" i="16"/>
  <c r="T48" i="16"/>
  <c r="T14" i="16"/>
  <c r="T72" i="16"/>
  <c r="T78" i="16"/>
  <c r="T18" i="16"/>
  <c r="T90" i="16"/>
  <c r="T69" i="16"/>
  <c r="T90" i="22"/>
  <c r="T85" i="16"/>
  <c r="T108" i="16"/>
  <c r="T93" i="22"/>
  <c r="T33" i="22"/>
  <c r="T133" i="22"/>
  <c r="T25" i="22"/>
  <c r="T111" i="22"/>
  <c r="T87" i="22"/>
  <c r="T41" i="22"/>
  <c r="T102" i="22"/>
  <c r="T15" i="22"/>
  <c r="T119" i="22"/>
  <c r="T51" i="22"/>
  <c r="T47" i="22"/>
  <c r="T27" i="22"/>
  <c r="T80" i="22"/>
  <c r="T135" i="22"/>
  <c r="T32" i="22"/>
  <c r="T84" i="22"/>
  <c r="T113" i="22"/>
  <c r="T54" i="22"/>
  <c r="T77" i="22"/>
  <c r="T26" i="22"/>
  <c r="T95" i="22"/>
  <c r="T107" i="22"/>
  <c r="T86" i="22"/>
  <c r="T22" i="22"/>
  <c r="T68" i="22"/>
  <c r="T75" i="22"/>
  <c r="T114" i="22"/>
  <c r="T13" i="22"/>
  <c r="T50" i="22"/>
  <c r="T122" i="22"/>
  <c r="T102" i="16"/>
  <c r="T50" i="16"/>
  <c r="T46" i="16"/>
  <c r="T57" i="16"/>
  <c r="T82" i="16"/>
  <c r="T95" i="16"/>
  <c r="T107" i="16"/>
  <c r="T44" i="16"/>
  <c r="T10" i="22"/>
  <c r="T86" i="16"/>
  <c r="T16" i="16"/>
  <c r="T38" i="16"/>
  <c r="T97" i="16"/>
  <c r="T52" i="16"/>
  <c r="T34" i="16"/>
  <c r="T113" i="16"/>
  <c r="T91" i="16"/>
  <c r="T73" i="16"/>
  <c r="T63" i="16"/>
  <c r="T68" i="16"/>
  <c r="T35" i="16"/>
  <c r="T54" i="16"/>
  <c r="G55" i="6"/>
  <c r="T12" i="20"/>
  <c r="G54" i="6"/>
  <c r="G21" i="6"/>
  <c r="T74" i="21"/>
  <c r="G31" i="6"/>
  <c r="G27" i="6"/>
  <c r="T76" i="21"/>
  <c r="T40" i="20"/>
  <c r="T7" i="21"/>
  <c r="T58" i="21"/>
  <c r="G53" i="6"/>
  <c r="U61" i="12"/>
  <c r="G35" i="6"/>
  <c r="T78" i="21"/>
  <c r="U58" i="12"/>
  <c r="U41" i="12"/>
  <c r="G39" i="6"/>
  <c r="G32" i="6"/>
  <c r="G25" i="6"/>
  <c r="T55" i="20"/>
  <c r="T100" i="21"/>
  <c r="G18" i="6"/>
  <c r="U55" i="12"/>
  <c r="T110" i="21"/>
  <c r="T109" i="21"/>
  <c r="U37" i="12"/>
  <c r="G20" i="6"/>
  <c r="G37" i="6"/>
  <c r="U39" i="12"/>
  <c r="G11" i="6"/>
  <c r="U62" i="12"/>
  <c r="U44" i="12"/>
  <c r="U51" i="12"/>
  <c r="U19" i="12"/>
  <c r="U57" i="12"/>
  <c r="U45" i="12"/>
  <c r="U25" i="12"/>
  <c r="U32" i="12"/>
  <c r="U59" i="12"/>
  <c r="G47" i="6"/>
  <c r="T25" i="25"/>
  <c r="T50" i="25"/>
  <c r="T36" i="25"/>
  <c r="T101" i="25"/>
  <c r="T129" i="25"/>
  <c r="T92" i="25"/>
  <c r="T29" i="25"/>
  <c r="T85" i="25"/>
  <c r="T106" i="25"/>
  <c r="T112" i="25"/>
  <c r="T62" i="25"/>
  <c r="T16" i="25"/>
  <c r="T77" i="25"/>
  <c r="T93" i="25"/>
  <c r="T68" i="21"/>
  <c r="T32" i="21"/>
  <c r="T48" i="21"/>
  <c r="T93" i="21"/>
  <c r="T15" i="21"/>
  <c r="T89" i="21"/>
  <c r="T8" i="21"/>
  <c r="T18" i="25"/>
  <c r="T81" i="21"/>
  <c r="T75" i="21"/>
  <c r="T121" i="23"/>
  <c r="T47" i="20"/>
  <c r="T50" i="20"/>
  <c r="T52" i="20"/>
  <c r="T15" i="20"/>
  <c r="T14" i="20"/>
  <c r="T32" i="20"/>
  <c r="T37" i="20"/>
  <c r="T9" i="20"/>
  <c r="T27" i="20"/>
  <c r="T11" i="20"/>
  <c r="T22" i="20"/>
  <c r="T5" i="20"/>
  <c r="T23" i="20"/>
  <c r="T13" i="20"/>
  <c r="T21" i="20"/>
  <c r="T34" i="20"/>
  <c r="T36" i="20"/>
  <c r="T41" i="20"/>
  <c r="T10" i="20"/>
  <c r="T19" i="20"/>
  <c r="T49" i="20"/>
  <c r="T30" i="20"/>
  <c r="T8" i="20"/>
  <c r="T17" i="20"/>
  <c r="T7" i="20"/>
  <c r="T46" i="20"/>
  <c r="T39" i="20"/>
  <c r="T51" i="20"/>
  <c r="T18" i="20"/>
  <c r="T44" i="20"/>
  <c r="T104" i="21"/>
  <c r="T52" i="21"/>
  <c r="T63" i="21"/>
  <c r="T91" i="21"/>
  <c r="T98" i="21"/>
  <c r="T66" i="21"/>
  <c r="T67" i="21"/>
  <c r="T72" i="21"/>
  <c r="T83" i="21"/>
  <c r="T92" i="21"/>
  <c r="T55" i="21"/>
  <c r="T95" i="21"/>
  <c r="T31" i="21"/>
  <c r="T24" i="21"/>
  <c r="T57" i="21"/>
  <c r="T33" i="21"/>
  <c r="T54" i="21"/>
  <c r="T36" i="21"/>
  <c r="T102" i="21"/>
  <c r="T60" i="21"/>
  <c r="T87" i="21"/>
  <c r="T82" i="21"/>
  <c r="T105" i="21"/>
  <c r="T90" i="21"/>
  <c r="T80" i="21"/>
  <c r="T19" i="21"/>
  <c r="T30" i="21"/>
  <c r="T77" i="21"/>
  <c r="T84" i="21"/>
  <c r="T79" i="21"/>
  <c r="T29" i="21"/>
  <c r="T47" i="21"/>
  <c r="T39" i="21"/>
  <c r="T37" i="21"/>
  <c r="T71" i="21"/>
  <c r="T106" i="21"/>
  <c r="T26" i="21"/>
  <c r="T88" i="21"/>
  <c r="T51" i="21"/>
  <c r="T13" i="21"/>
  <c r="T65" i="21"/>
  <c r="T112" i="21"/>
  <c r="T85" i="21"/>
  <c r="T96" i="21"/>
  <c r="T64" i="21"/>
  <c r="T45" i="21"/>
  <c r="T11" i="21"/>
  <c r="T16" i="21"/>
  <c r="T97" i="21"/>
  <c r="T86" i="21"/>
  <c r="T53" i="21"/>
  <c r="T59" i="21"/>
  <c r="T35" i="21"/>
  <c r="T101" i="21"/>
  <c r="T6" i="21"/>
  <c r="T25" i="21"/>
  <c r="T69" i="21"/>
  <c r="T111" i="21"/>
  <c r="T34" i="21"/>
  <c r="T46" i="21"/>
  <c r="T43" i="21"/>
  <c r="T94" i="21"/>
  <c r="T28" i="21"/>
  <c r="T70" i="21"/>
  <c r="T17" i="21"/>
  <c r="T38" i="21"/>
  <c r="T56" i="21"/>
  <c r="T107" i="21"/>
  <c r="T12" i="21"/>
  <c r="T22" i="21"/>
  <c r="T62" i="21"/>
  <c r="T42" i="21"/>
  <c r="T61" i="21"/>
  <c r="T41" i="21"/>
  <c r="T99" i="21"/>
  <c r="T14" i="21"/>
  <c r="T20" i="21"/>
  <c r="T73" i="21"/>
  <c r="T88" i="25"/>
  <c r="T10" i="21"/>
  <c r="T43" i="20"/>
  <c r="T20" i="20"/>
  <c r="T28" i="20"/>
  <c r="T25" i="20"/>
  <c r="T48" i="23"/>
  <c r="T84" i="23"/>
  <c r="T7" i="23"/>
  <c r="T139" i="23"/>
  <c r="T86" i="23"/>
  <c r="T62" i="23"/>
  <c r="T137" i="23"/>
  <c r="T23" i="21"/>
  <c r="T40" i="21"/>
  <c r="T18" i="21"/>
  <c r="T27" i="21"/>
  <c r="T9" i="21"/>
  <c r="T108" i="21"/>
  <c r="T21" i="21"/>
  <c r="T44" i="21"/>
  <c r="T6" i="20"/>
  <c r="T24" i="20"/>
  <c r="T124" i="23"/>
  <c r="T89" i="16"/>
  <c r="T42" i="16"/>
  <c r="T27" i="16"/>
  <c r="T92" i="16"/>
  <c r="T98" i="16"/>
  <c r="T10" i="16"/>
  <c r="T12" i="16"/>
  <c r="T21" i="16"/>
  <c r="T49" i="16"/>
  <c r="T67" i="16"/>
  <c r="T59" i="16"/>
  <c r="T58" i="16"/>
  <c r="T103" i="16"/>
  <c r="T106" i="16"/>
  <c r="T28" i="16"/>
  <c r="T71" i="16"/>
  <c r="T94" i="16"/>
  <c r="T84" i="16"/>
  <c r="T11" i="16"/>
  <c r="T87" i="16"/>
  <c r="T25" i="16"/>
  <c r="T80" i="16"/>
  <c r="T100" i="16"/>
  <c r="T45" i="16"/>
  <c r="T9" i="16"/>
  <c r="T17" i="16"/>
  <c r="T75" i="16"/>
  <c r="T51" i="16"/>
  <c r="T62" i="16"/>
  <c r="T5" i="16"/>
  <c r="T31" i="16"/>
  <c r="T15" i="16"/>
  <c r="T55" i="16"/>
  <c r="T32" i="16"/>
  <c r="T36" i="16"/>
  <c r="T93" i="16"/>
  <c r="T76" i="16"/>
  <c r="T22" i="16"/>
  <c r="T13" i="16"/>
  <c r="T24" i="16"/>
  <c r="T77" i="16"/>
  <c r="T101" i="16"/>
  <c r="T70" i="16"/>
  <c r="T43" i="16"/>
  <c r="T111" i="16"/>
  <c r="T56" i="16"/>
  <c r="T37" i="16"/>
  <c r="T88" i="16"/>
  <c r="T96" i="16"/>
  <c r="T99" i="16"/>
  <c r="T19" i="16"/>
  <c r="T110" i="16"/>
  <c r="T39" i="16"/>
  <c r="T96" i="23"/>
  <c r="T78" i="23"/>
  <c r="T9" i="23"/>
  <c r="T25" i="23"/>
  <c r="T69" i="23"/>
  <c r="T116" i="23"/>
  <c r="T126" i="23"/>
  <c r="T98" i="23"/>
  <c r="T135" i="23"/>
  <c r="T77" i="23"/>
  <c r="T54" i="23"/>
  <c r="T49" i="23"/>
  <c r="T132" i="23"/>
  <c r="T92" i="23"/>
  <c r="T23" i="23"/>
  <c r="T93" i="23"/>
  <c r="T26" i="23"/>
  <c r="T123" i="23"/>
  <c r="T10" i="23"/>
  <c r="T18" i="23"/>
  <c r="T42" i="23"/>
  <c r="T91" i="23"/>
  <c r="T145" i="23"/>
  <c r="T67" i="23"/>
  <c r="T36" i="23"/>
  <c r="T115" i="23"/>
  <c r="T34" i="23"/>
  <c r="T28" i="23"/>
  <c r="T103" i="23"/>
  <c r="T73" i="23"/>
  <c r="T108" i="23"/>
  <c r="T37" i="23"/>
  <c r="T55" i="23"/>
  <c r="T94" i="23"/>
  <c r="T134" i="23"/>
  <c r="T72" i="23"/>
  <c r="T15" i="23"/>
  <c r="T128" i="23"/>
  <c r="T8" i="23"/>
  <c r="T117" i="23"/>
  <c r="T22" i="23"/>
  <c r="T79" i="23"/>
  <c r="T90" i="23"/>
  <c r="T80" i="23"/>
  <c r="T81" i="23"/>
  <c r="T71" i="23"/>
  <c r="T44" i="23"/>
  <c r="T43" i="23"/>
  <c r="T146" i="23"/>
  <c r="T39" i="23"/>
  <c r="T27" i="23"/>
  <c r="T111" i="23"/>
  <c r="T88" i="23"/>
  <c r="T113" i="23"/>
  <c r="T102" i="23"/>
  <c r="T50" i="23"/>
  <c r="T143" i="23"/>
  <c r="T46" i="23"/>
  <c r="T101" i="23"/>
  <c r="T53" i="23"/>
  <c r="T104" i="23"/>
  <c r="T64" i="23"/>
  <c r="T30" i="23"/>
  <c r="T138" i="23"/>
  <c r="T122" i="23"/>
  <c r="T16" i="23"/>
  <c r="T120" i="23"/>
  <c r="T51" i="23"/>
  <c r="T59" i="23"/>
  <c r="T35" i="23"/>
  <c r="T105" i="23"/>
  <c r="T97" i="23"/>
  <c r="T109" i="23"/>
  <c r="T61" i="23"/>
  <c r="T89" i="23"/>
  <c r="T83" i="23"/>
  <c r="T153" i="25"/>
  <c r="T7" i="25"/>
  <c r="T68" i="25"/>
  <c r="T35" i="25"/>
  <c r="T30" i="25"/>
  <c r="T123" i="25"/>
  <c r="T131" i="23"/>
  <c r="T45" i="23"/>
  <c r="T114" i="23"/>
  <c r="T145" i="25"/>
  <c r="T65" i="25"/>
  <c r="T70" i="25"/>
  <c r="T72" i="25"/>
  <c r="T21" i="25"/>
  <c r="T6" i="25"/>
  <c r="T150" i="25"/>
  <c r="T119" i="23"/>
  <c r="T82" i="23"/>
  <c r="T141" i="23"/>
  <c r="T40" i="25"/>
  <c r="T34" i="25"/>
  <c r="T57" i="25"/>
  <c r="T131" i="25"/>
  <c r="T53" i="25"/>
  <c r="T148" i="25"/>
  <c r="T144" i="25"/>
  <c r="T87" i="25"/>
  <c r="T41" i="25"/>
  <c r="T128" i="25"/>
  <c r="T47" i="25"/>
  <c r="T111" i="25"/>
  <c r="T75" i="25"/>
  <c r="T19" i="25"/>
  <c r="T74" i="25"/>
  <c r="T71" i="25"/>
  <c r="T136" i="25"/>
  <c r="T164" i="25"/>
  <c r="T117" i="25"/>
  <c r="T61" i="25"/>
  <c r="T24" i="25"/>
  <c r="T91" i="25"/>
  <c r="T121" i="25"/>
  <c r="T96" i="25"/>
  <c r="T26" i="25"/>
  <c r="T163" i="25"/>
  <c r="T78" i="25"/>
  <c r="T73" i="25"/>
  <c r="T160" i="25"/>
  <c r="T102" i="25"/>
  <c r="T43" i="25"/>
  <c r="T109" i="25"/>
  <c r="T28" i="25"/>
  <c r="T56" i="25"/>
  <c r="T32" i="25"/>
  <c r="T33" i="25"/>
  <c r="T67" i="25"/>
  <c r="T49" i="25"/>
  <c r="T107" i="25"/>
  <c r="T161" i="25"/>
  <c r="T55" i="25"/>
  <c r="T122" i="25"/>
  <c r="T20" i="25"/>
  <c r="T134" i="25"/>
  <c r="T141" i="25"/>
  <c r="T79" i="25"/>
  <c r="T135" i="25"/>
  <c r="T63" i="25"/>
  <c r="T99" i="25"/>
  <c r="T139" i="25"/>
  <c r="T165" i="25"/>
  <c r="T52" i="25"/>
  <c r="T89" i="25"/>
  <c r="T46" i="25"/>
  <c r="T124" i="25"/>
  <c r="T126" i="25"/>
  <c r="T42" i="25"/>
  <c r="T147" i="25"/>
  <c r="T104" i="25"/>
  <c r="T108" i="25"/>
  <c r="T118" i="25"/>
  <c r="T120" i="25"/>
  <c r="T100" i="25"/>
  <c r="T149" i="25"/>
  <c r="T143" i="25"/>
  <c r="T103" i="25"/>
  <c r="T97" i="25"/>
  <c r="T82" i="25"/>
  <c r="T157" i="25"/>
  <c r="T45" i="25"/>
  <c r="T83" i="25"/>
  <c r="T127" i="25"/>
  <c r="T162" i="25"/>
  <c r="T37" i="25"/>
  <c r="T105" i="25"/>
  <c r="T87" i="23"/>
  <c r="T47" i="23"/>
  <c r="T24" i="23"/>
  <c r="T155" i="25"/>
  <c r="T60" i="25"/>
  <c r="T95" i="25"/>
  <c r="T31" i="25"/>
  <c r="T44" i="25"/>
  <c r="T137" i="25"/>
  <c r="T81" i="25"/>
  <c r="T76" i="25"/>
  <c r="T100" i="23"/>
  <c r="T68" i="23"/>
  <c r="T86" i="25"/>
  <c r="T110" i="25"/>
  <c r="T12" i="25"/>
  <c r="T132" i="25"/>
  <c r="T84" i="25"/>
  <c r="T58" i="25"/>
  <c r="T125" i="25"/>
  <c r="T94" i="25"/>
  <c r="T158" i="25"/>
  <c r="T54" i="25"/>
  <c r="T151" i="25"/>
  <c r="T9" i="25"/>
  <c r="T27" i="25"/>
  <c r="T98" i="25"/>
  <c r="T110" i="23"/>
  <c r="T11" i="23"/>
  <c r="T142" i="23"/>
  <c r="T125" i="23"/>
  <c r="T14" i="23"/>
  <c r="T17" i="23"/>
  <c r="T95" i="23"/>
  <c r="T10" i="25"/>
  <c r="T38" i="23"/>
  <c r="T116" i="25"/>
  <c r="U28" i="12"/>
  <c r="U35" i="12"/>
  <c r="U53" i="12"/>
  <c r="U42" i="12"/>
  <c r="U18" i="12"/>
  <c r="U12" i="12"/>
  <c r="U22" i="12"/>
  <c r="U52" i="12"/>
  <c r="U64" i="12"/>
  <c r="U49" i="12"/>
  <c r="U48" i="12"/>
  <c r="U38" i="12"/>
  <c r="U66" i="12"/>
  <c r="U46" i="12"/>
  <c r="U26" i="12"/>
  <c r="U33" i="12"/>
  <c r="U30" i="12"/>
  <c r="U34" i="12"/>
  <c r="U13" i="12"/>
  <c r="U40" i="12"/>
  <c r="U63" i="12"/>
  <c r="U56" i="12"/>
  <c r="U31" i="12"/>
  <c r="U60" i="12"/>
  <c r="U54" i="12"/>
  <c r="U43" i="12"/>
  <c r="U36" i="12"/>
  <c r="U47" i="12"/>
  <c r="U27" i="12"/>
  <c r="U65" i="12"/>
  <c r="U11" i="12"/>
  <c r="G23" i="6"/>
  <c r="G46" i="6"/>
  <c r="G15" i="6"/>
  <c r="G44" i="6"/>
  <c r="G33" i="6"/>
  <c r="G40" i="6"/>
  <c r="T33" i="20"/>
  <c r="T12" i="23"/>
  <c r="T56" i="23"/>
  <c r="T130" i="23"/>
  <c r="T33" i="23"/>
  <c r="T106" i="23"/>
  <c r="T52" i="23"/>
  <c r="T6" i="23"/>
  <c r="T144" i="23"/>
  <c r="T60" i="23"/>
  <c r="T74" i="23"/>
  <c r="T133" i="23"/>
  <c r="T57" i="23"/>
  <c r="T32" i="23"/>
  <c r="T136" i="23"/>
  <c r="T99" i="23"/>
  <c r="T129" i="23"/>
  <c r="T76" i="23"/>
  <c r="T85" i="23"/>
  <c r="T75" i="23"/>
  <c r="T147" i="23"/>
  <c r="T112" i="23"/>
  <c r="T41" i="23"/>
  <c r="T107" i="23"/>
  <c r="T29" i="23"/>
  <c r="T140" i="23"/>
  <c r="T65" i="23"/>
  <c r="T63" i="23"/>
  <c r="T127" i="23"/>
  <c r="T66" i="23"/>
  <c r="T21" i="23"/>
  <c r="T31" i="23"/>
  <c r="T70" i="23"/>
  <c r="T118" i="23"/>
  <c r="T58" i="23"/>
  <c r="T40" i="23"/>
  <c r="T152" i="25"/>
  <c r="T140" i="25"/>
  <c r="T51" i="25"/>
  <c r="T59" i="25"/>
  <c r="T13" i="25"/>
  <c r="T114" i="25"/>
  <c r="T130" i="25"/>
  <c r="T119" i="25"/>
  <c r="T113" i="25"/>
  <c r="T154" i="25"/>
  <c r="T115" i="25"/>
  <c r="T64" i="25"/>
  <c r="T156" i="25"/>
  <c r="T90" i="25"/>
  <c r="T38" i="25"/>
  <c r="T146" i="25"/>
  <c r="T66" i="25"/>
  <c r="T133" i="25"/>
  <c r="T138" i="25"/>
  <c r="T48" i="25"/>
  <c r="T23" i="25"/>
  <c r="T80" i="25"/>
  <c r="T39" i="25"/>
  <c r="T69" i="25"/>
  <c r="T17" i="25"/>
  <c r="T22" i="25"/>
  <c r="T8" i="25"/>
  <c r="T142" i="25"/>
  <c r="T159" i="25"/>
  <c r="G52" i="6"/>
  <c r="G36" i="6"/>
  <c r="G30" i="6"/>
  <c r="G51" i="6"/>
  <c r="G22" i="6"/>
  <c r="G29" i="6"/>
  <c r="G38" i="6"/>
  <c r="G34" i="6"/>
  <c r="G12" i="6"/>
  <c r="G24" i="6"/>
  <c r="G57" i="6"/>
  <c r="G17" i="6"/>
  <c r="G16" i="6"/>
  <c r="T48" i="20"/>
  <c r="T29" i="20"/>
  <c r="T38" i="20"/>
  <c r="T35" i="20"/>
  <c r="T26" i="20"/>
  <c r="T42" i="20"/>
  <c r="T16" i="20"/>
  <c r="T31" i="20"/>
  <c r="T45" i="20"/>
  <c r="G41" i="6"/>
  <c r="G43" i="6"/>
  <c r="G56" i="6"/>
  <c r="G28" i="6"/>
  <c r="G50" i="6"/>
  <c r="G49" i="6"/>
  <c r="G26" i="6"/>
  <c r="G14" i="6"/>
  <c r="G19" i="6"/>
  <c r="G48" i="6"/>
  <c r="G42" i="6"/>
</calcChain>
</file>

<file path=xl/comments1.xml><?xml version="1.0" encoding="utf-8"?>
<comments xmlns="http://schemas.openxmlformats.org/spreadsheetml/2006/main">
  <authors>
    <author/>
  </authors>
  <commentList>
    <comment ref="I53" authorId="0" shapeId="0">
      <text>
        <r>
          <rPr>
            <sz val="10"/>
            <rFont val="Arial"/>
            <family val="2"/>
          </rPr>
          <t>Ver cláusula quarta do respectivo contrato 4 ano para computadores e 3 anos para notebooks.</t>
        </r>
      </text>
    </comment>
  </commentList>
</comments>
</file>

<file path=xl/comments10.xml><?xml version="1.0" encoding="utf-8"?>
<comments xmlns="http://schemas.openxmlformats.org/spreadsheetml/2006/main">
  <authors>
    <author>Maria Simone Guimarães</author>
  </authors>
  <commentList>
    <comment ref="U15" authorId="0" shapeId="0">
      <text>
        <r>
          <rPr>
            <b/>
            <sz val="11"/>
            <color indexed="81"/>
            <rFont val="Tahoma"/>
            <family val="2"/>
          </rPr>
          <t>Maria Simone Guimarães:</t>
        </r>
        <r>
          <rPr>
            <sz val="11"/>
            <color indexed="81"/>
            <rFont val="Tahoma"/>
            <family val="2"/>
          </rPr>
          <t xml:space="preserve">
Conforme conversa com Johanilton e Alexsander, em 30/10/2013, existe uma cláusula em que o processo é renovado automaticamente.</t>
        </r>
      </text>
    </comment>
    <comment ref="D38" authorId="0" shapeId="0">
      <text>
        <r>
          <rPr>
            <b/>
            <sz val="11"/>
            <color indexed="81"/>
            <rFont val="Tahoma"/>
            <family val="2"/>
          </rPr>
          <t>Maria Simone Guimarães:</t>
        </r>
        <r>
          <rPr>
            <sz val="11"/>
            <color indexed="81"/>
            <rFont val="Tahoma"/>
            <family val="2"/>
          </rPr>
          <t xml:space="preserve">
CI 012/2014 COINF-"...CONTRATO DE PROCESSO 131/2013 SERÁ RENOVADO AUTOMATICAMENTE, PODENDO SER CANCELADO A QUALQUER MOMENTO PELA GOIÁSFOMENTO."</t>
        </r>
      </text>
    </comment>
    <comment ref="U39" authorId="0" shapeId="0">
      <text>
        <r>
          <rPr>
            <b/>
            <sz val="11"/>
            <color indexed="81"/>
            <rFont val="Tahoma"/>
            <family val="2"/>
          </rPr>
          <t>Maria Simone Guimarães:</t>
        </r>
        <r>
          <rPr>
            <sz val="11"/>
            <color indexed="81"/>
            <rFont val="Tahoma"/>
            <family val="2"/>
          </rPr>
          <t xml:space="preserve">
Vigência de acordo com lançamento da planilha CGE na intranet.</t>
        </r>
      </text>
    </comment>
  </commentList>
</comments>
</file>

<file path=xl/comments11.xml><?xml version="1.0" encoding="utf-8"?>
<comments xmlns="http://schemas.openxmlformats.org/spreadsheetml/2006/main">
  <authors>
    <author>Maria Simone Guimarães</author>
  </authors>
  <commentList>
    <comment ref="U12" authorId="0" shapeId="0">
      <text>
        <r>
          <rPr>
            <b/>
            <sz val="11"/>
            <color indexed="81"/>
            <rFont val="Tahoma"/>
            <family val="2"/>
          </rPr>
          <t>Maria Simone Guimarães:</t>
        </r>
        <r>
          <rPr>
            <sz val="11"/>
            <color indexed="81"/>
            <rFont val="Tahoma"/>
            <family val="2"/>
          </rPr>
          <t xml:space="preserve">
Conforme conversa com Johanilton e Alexsander, em 30/10/2013, existe uma cláusula em que o processo é renovado automaticamente.</t>
        </r>
      </text>
    </comment>
    <comment ref="D35" authorId="0" shapeId="0">
      <text>
        <r>
          <rPr>
            <b/>
            <sz val="11"/>
            <color indexed="81"/>
            <rFont val="Tahoma"/>
            <family val="2"/>
          </rPr>
          <t>Maria Simone Guimarães:</t>
        </r>
        <r>
          <rPr>
            <sz val="11"/>
            <color indexed="81"/>
            <rFont val="Tahoma"/>
            <family val="2"/>
          </rPr>
          <t xml:space="preserve">
CI 012/2014 COINF-"...CONTRATO DE PROCESSO 131/2013 SERÁ RENOVADO AUTOMATICAMENTE, PODENDO SER CANCELADO A QUALQUER MOMENTO PELA GOIÁSFOMENTO."</t>
        </r>
      </text>
    </comment>
    <comment ref="U36" authorId="0" shapeId="0">
      <text>
        <r>
          <rPr>
            <b/>
            <sz val="11"/>
            <color indexed="81"/>
            <rFont val="Tahoma"/>
            <family val="2"/>
          </rPr>
          <t>Maria Simone Guimarães:</t>
        </r>
        <r>
          <rPr>
            <sz val="11"/>
            <color indexed="81"/>
            <rFont val="Tahoma"/>
            <family val="2"/>
          </rPr>
          <t xml:space="preserve">
Vigência de acordo com lançamento da planilha CGE na intranet.</t>
        </r>
      </text>
    </comment>
  </commentList>
</comments>
</file>

<file path=xl/comments12.xml><?xml version="1.0" encoding="utf-8"?>
<comments xmlns="http://schemas.openxmlformats.org/spreadsheetml/2006/main">
  <authors>
    <author>Maria Simone Guimarães</author>
  </authors>
  <commentList>
    <comment ref="D33" authorId="0" shapeId="0">
      <text>
        <r>
          <rPr>
            <b/>
            <sz val="11"/>
            <color indexed="81"/>
            <rFont val="Tahoma"/>
            <family val="2"/>
          </rPr>
          <t>Maria Simone Guimarães:</t>
        </r>
        <r>
          <rPr>
            <sz val="11"/>
            <color indexed="81"/>
            <rFont val="Tahoma"/>
            <family val="2"/>
          </rPr>
          <t xml:space="preserve">
CI 012/2014 COINF-"...CONTRATO DE PROCESSO 131/2013 SERÁ RENOVADO AUTOMATICAMENTE, PODENDO SER CANCELADO A QUALQUER MOMENTO PELA GOIÁSFOMENTO."</t>
        </r>
      </text>
    </comment>
    <comment ref="U34" authorId="0" shapeId="0">
      <text>
        <r>
          <rPr>
            <b/>
            <sz val="11"/>
            <color indexed="81"/>
            <rFont val="Tahoma"/>
            <family val="2"/>
          </rPr>
          <t>Maria Simone Guimarães:</t>
        </r>
        <r>
          <rPr>
            <sz val="11"/>
            <color indexed="81"/>
            <rFont val="Tahoma"/>
            <family val="2"/>
          </rPr>
          <t xml:space="preserve">
Vigência de acordo com lançamento da planilha CGE na intranet.</t>
        </r>
      </text>
    </comment>
  </commentList>
</comments>
</file>

<file path=xl/comments13.xml><?xml version="1.0" encoding="utf-8"?>
<comments xmlns="http://schemas.openxmlformats.org/spreadsheetml/2006/main">
  <authors>
    <author>Maria Simone Guimarães</author>
  </authors>
  <commentList>
    <comment ref="D17" authorId="0" shapeId="0">
      <text>
        <r>
          <rPr>
            <b/>
            <sz val="11"/>
            <color indexed="81"/>
            <rFont val="Tahoma"/>
            <family val="2"/>
          </rPr>
          <t>Maria Simone Guimarães:</t>
        </r>
        <r>
          <rPr>
            <sz val="11"/>
            <color indexed="81"/>
            <rFont val="Tahoma"/>
            <family val="2"/>
          </rPr>
          <t xml:space="preserve">
CI 012/2014 COINF-"...CONTRATO DE PROCESSO 131/2013 SERÁ RENOVADO AUTOMATICAMENTE, PODENDO SER CANCELADO A QUALQUER MOMENTO PELA GOIÁSFOMENTO."</t>
        </r>
      </text>
    </comment>
    <comment ref="U18" authorId="0" shapeId="0">
      <text>
        <r>
          <rPr>
            <b/>
            <sz val="11"/>
            <color indexed="81"/>
            <rFont val="Tahoma"/>
            <family val="2"/>
          </rPr>
          <t>Maria Simone Guimarães:</t>
        </r>
        <r>
          <rPr>
            <sz val="11"/>
            <color indexed="81"/>
            <rFont val="Tahoma"/>
            <family val="2"/>
          </rPr>
          <t xml:space="preserve">
Vigência de acordo com lançamento da planilha CGE na intranet.</t>
        </r>
      </text>
    </comment>
  </commentList>
</comments>
</file>

<file path=xl/comments14.xml><?xml version="1.0" encoding="utf-8"?>
<comments xmlns="http://schemas.openxmlformats.org/spreadsheetml/2006/main">
  <authors>
    <author>Maria Simone Guimarães</author>
  </authors>
  <commentList>
    <comment ref="U11" authorId="0" shapeId="0">
      <text>
        <r>
          <rPr>
            <b/>
            <sz val="11"/>
            <color indexed="81"/>
            <rFont val="Tahoma"/>
            <family val="2"/>
          </rPr>
          <t>Maria Simone Guimarães:</t>
        </r>
        <r>
          <rPr>
            <sz val="11"/>
            <color indexed="81"/>
            <rFont val="Tahoma"/>
            <family val="2"/>
          </rPr>
          <t xml:space="preserve">
Vigência de acordo com lançamento da planilha CGE na intranet.</t>
        </r>
      </text>
    </comment>
  </commentList>
</comments>
</file>

<file path=xl/comments2.xml><?xml version="1.0" encoding="utf-8"?>
<comments xmlns="http://schemas.openxmlformats.org/spreadsheetml/2006/main">
  <authors>
    <author/>
  </authors>
  <commentList>
    <comment ref="H57" authorId="0" shapeId="0">
      <text>
        <r>
          <rPr>
            <sz val="10"/>
            <rFont val="Arial"/>
            <family val="2"/>
          </rPr>
          <t>Ver cláusula quarta do respectivo contrato 4 ano para computadores e 3 anos para notebooks.</t>
        </r>
      </text>
    </comment>
  </commentList>
</comments>
</file>

<file path=xl/comments3.xml><?xml version="1.0" encoding="utf-8"?>
<comments xmlns="http://schemas.openxmlformats.org/spreadsheetml/2006/main">
  <authors>
    <author/>
  </authors>
  <commentList>
    <comment ref="H53" authorId="0" shapeId="0">
      <text>
        <r>
          <rPr>
            <sz val="10"/>
            <rFont val="Arial"/>
            <family val="2"/>
          </rPr>
          <t>Ver cláusula quarta do respectivo contrato 4 ano para computadores e 3 anos para notebooks.</t>
        </r>
      </text>
    </comment>
  </commentList>
</comments>
</file>

<file path=xl/comments4.xml><?xml version="1.0" encoding="utf-8"?>
<comments xmlns="http://schemas.openxmlformats.org/spreadsheetml/2006/main">
  <authors>
    <author/>
  </authors>
  <commentList>
    <comment ref="V55" authorId="0" shapeId="0">
      <text>
        <r>
          <rPr>
            <sz val="10"/>
            <rFont val="Arial"/>
            <family val="2"/>
          </rPr>
          <t>Ver cláusula quarta do respectivo contrato 4 ano para computadores e 3 anos para notebooks.</t>
        </r>
      </text>
    </comment>
  </commentList>
</comments>
</file>

<file path=xl/comments5.xml><?xml version="1.0" encoding="utf-8"?>
<comments xmlns="http://schemas.openxmlformats.org/spreadsheetml/2006/main">
  <authors>
    <author/>
  </authors>
  <commentList>
    <comment ref="U20" authorId="0" shapeId="0">
      <text>
        <r>
          <rPr>
            <sz val="10"/>
            <rFont val="Arial"/>
            <family val="2"/>
          </rPr>
          <t>Ver cláusula quarta do respectivo contrato 4 ano para computadores e 3 anos para notebooks.</t>
        </r>
      </text>
    </comment>
  </commentList>
</comments>
</file>

<file path=xl/comments6.xml><?xml version="1.0" encoding="utf-8"?>
<comments xmlns="http://schemas.openxmlformats.org/spreadsheetml/2006/main">
  <authors>
    <author/>
  </authors>
  <commentList>
    <comment ref="G32" authorId="0" shapeId="0">
      <text>
        <r>
          <rPr>
            <sz val="10"/>
            <rFont val="Arial"/>
            <family val="2"/>
          </rPr>
          <t>Ver cláusula quarta do respectivo contrato 4 ano para computadores e 3 anos para notebooks.</t>
        </r>
      </text>
    </comment>
  </commentList>
</comments>
</file>

<file path=xl/comments7.xml><?xml version="1.0" encoding="utf-8"?>
<comments xmlns="http://schemas.openxmlformats.org/spreadsheetml/2006/main">
  <authors>
    <author/>
  </authors>
  <commentList>
    <comment ref="U16" authorId="0" shapeId="0">
      <text>
        <r>
          <rPr>
            <sz val="10"/>
            <rFont val="Arial"/>
            <family val="2"/>
          </rPr>
          <t>Ver cláusula quarta do respectivo contrato 4 ano para computadores e 3 anos para notebooks.</t>
        </r>
      </text>
    </comment>
  </commentList>
</comments>
</file>

<file path=xl/comments8.xml><?xml version="1.0" encoding="utf-8"?>
<comments xmlns="http://schemas.openxmlformats.org/spreadsheetml/2006/main">
  <authors>
    <author>Maria Simone Guimarães</author>
    <author/>
  </authors>
  <commentList>
    <comment ref="U9" authorId="0" shapeId="0">
      <text>
        <r>
          <rPr>
            <b/>
            <sz val="11"/>
            <color indexed="81"/>
            <rFont val="Tahoma"/>
            <family val="2"/>
          </rPr>
          <t>Maria Simone Guimarães:</t>
        </r>
        <r>
          <rPr>
            <sz val="11"/>
            <color indexed="81"/>
            <rFont val="Tahoma"/>
            <family val="2"/>
          </rPr>
          <t xml:space="preserve">
Data retirada da planilha CGE intranet.</t>
        </r>
      </text>
    </comment>
    <comment ref="U12" authorId="0" shapeId="0">
      <text>
        <r>
          <rPr>
            <b/>
            <sz val="11"/>
            <color indexed="81"/>
            <rFont val="Tahoma"/>
            <family val="2"/>
          </rPr>
          <t>Maria Simone Guimarães:</t>
        </r>
        <r>
          <rPr>
            <sz val="11"/>
            <color indexed="81"/>
            <rFont val="Tahoma"/>
            <family val="2"/>
          </rPr>
          <t xml:space="preserve">
Alterado conf. CI COSEP 151/2013</t>
        </r>
      </text>
    </comment>
    <comment ref="U16" authorId="1" shapeId="0">
      <text>
        <r>
          <rPr>
            <sz val="10"/>
            <rFont val="Arial"/>
            <family val="2"/>
          </rPr>
          <t>Ver cláusula quarta do respectivo contrato 4 ano para computadores e 3 anos para notebooks.</t>
        </r>
      </text>
    </comment>
    <comment ref="L33" authorId="0" shapeId="0">
      <text>
        <r>
          <rPr>
            <b/>
            <sz val="11"/>
            <color indexed="81"/>
            <rFont val="Tahoma"/>
            <family val="2"/>
          </rPr>
          <t>Maria Simone Guimarães:</t>
        </r>
        <r>
          <rPr>
            <sz val="11"/>
            <color indexed="81"/>
            <rFont val="Tahoma"/>
            <family val="2"/>
          </rPr>
          <t xml:space="preserve">
NOVO CONTRATO
</t>
        </r>
      </text>
    </comment>
    <comment ref="U41" authorId="0" shapeId="0">
      <text>
        <r>
          <rPr>
            <b/>
            <sz val="11"/>
            <color indexed="81"/>
            <rFont val="Tahoma"/>
            <family val="2"/>
          </rPr>
          <t>Maria Simone Guimarães:</t>
        </r>
        <r>
          <rPr>
            <sz val="11"/>
            <color indexed="81"/>
            <rFont val="Tahoma"/>
            <family val="2"/>
          </rPr>
          <t xml:space="preserve">
Conforme conversa com Johanilton e Alexsander, em 30/10/2013, existe uma cláusula em que o processo é renovado automaticamente.</t>
        </r>
      </text>
    </comment>
    <comment ref="D81" authorId="0" shapeId="0">
      <text>
        <r>
          <rPr>
            <b/>
            <sz val="11"/>
            <color indexed="81"/>
            <rFont val="Tahoma"/>
            <family val="2"/>
          </rPr>
          <t>Maria Simone Guimarães:</t>
        </r>
        <r>
          <rPr>
            <sz val="11"/>
            <color indexed="81"/>
            <rFont val="Tahoma"/>
            <family val="2"/>
          </rPr>
          <t xml:space="preserve">
CI 012/2014 COINF-"...CONTRATO DE PROCESSO 131/2013 SERÁ RENOVADO AUTOMATICAMENTE, PODENDO SER CANCELADO A QUALQUER MOMENTO PELA GOIÁSFOMENTO."</t>
        </r>
      </text>
    </comment>
    <comment ref="U83" authorId="0" shapeId="0">
      <text>
        <r>
          <rPr>
            <b/>
            <sz val="11"/>
            <color indexed="81"/>
            <rFont val="Tahoma"/>
            <family val="2"/>
          </rPr>
          <t>Maria Simone Guimarães:</t>
        </r>
        <r>
          <rPr>
            <sz val="11"/>
            <color indexed="81"/>
            <rFont val="Tahoma"/>
            <family val="2"/>
          </rPr>
          <t xml:space="preserve">
Vigência de acordo com lançamento da planilha CGE na intranet.</t>
        </r>
      </text>
    </comment>
  </commentList>
</comments>
</file>

<file path=xl/comments9.xml><?xml version="1.0" encoding="utf-8"?>
<comments xmlns="http://schemas.openxmlformats.org/spreadsheetml/2006/main">
  <authors>
    <author>Maria Simone Guimarães</author>
    <author/>
  </authors>
  <commentList>
    <comment ref="U9" authorId="0" shapeId="0">
      <text>
        <r>
          <rPr>
            <b/>
            <sz val="11"/>
            <color indexed="81"/>
            <rFont val="Tahoma"/>
            <family val="2"/>
          </rPr>
          <t>Maria Simone Guimarães:</t>
        </r>
        <r>
          <rPr>
            <sz val="11"/>
            <color indexed="81"/>
            <rFont val="Tahoma"/>
            <family val="2"/>
          </rPr>
          <t xml:space="preserve">
Data retirada da planilha CGE intranet.</t>
        </r>
      </text>
    </comment>
    <comment ref="U12" authorId="0" shapeId="0">
      <text>
        <r>
          <rPr>
            <b/>
            <sz val="11"/>
            <color indexed="81"/>
            <rFont val="Tahoma"/>
            <family val="2"/>
          </rPr>
          <t>Maria Simone Guimarães:</t>
        </r>
        <r>
          <rPr>
            <sz val="11"/>
            <color indexed="81"/>
            <rFont val="Tahoma"/>
            <family val="2"/>
          </rPr>
          <t xml:space="preserve">
Alterado conf. CI COSEP 151/2013</t>
        </r>
      </text>
    </comment>
    <comment ref="U14" authorId="1" shapeId="0">
      <text>
        <r>
          <rPr>
            <sz val="10"/>
            <rFont val="Arial"/>
            <family val="2"/>
          </rPr>
          <t>Ver cláusula quarta do respectivo contrato 4 ano para computadores e 3 anos para notebooks.</t>
        </r>
      </text>
    </comment>
    <comment ref="U28" authorId="0" shapeId="0">
      <text>
        <r>
          <rPr>
            <b/>
            <sz val="11"/>
            <color indexed="81"/>
            <rFont val="Tahoma"/>
            <family val="2"/>
          </rPr>
          <t>Maria Simone Guimarães:</t>
        </r>
        <r>
          <rPr>
            <sz val="11"/>
            <color indexed="81"/>
            <rFont val="Tahoma"/>
            <family val="2"/>
          </rPr>
          <t xml:space="preserve">
Conforme conversa com Johanilton e Alexsander, em 30/10/2013, existe uma cláusula em que o processo é renovado automaticamente.</t>
        </r>
      </text>
    </comment>
    <comment ref="D57" authorId="0" shapeId="0">
      <text>
        <r>
          <rPr>
            <b/>
            <sz val="11"/>
            <color indexed="81"/>
            <rFont val="Tahoma"/>
            <family val="2"/>
          </rPr>
          <t>Maria Simone Guimarães:</t>
        </r>
        <r>
          <rPr>
            <sz val="11"/>
            <color indexed="81"/>
            <rFont val="Tahoma"/>
            <family val="2"/>
          </rPr>
          <t xml:space="preserve">
CI 012/2014 COINF-"...CONTRATO DE PROCESSO 131/2013 SERÁ RENOVADO AUTOMATICAMENTE, PODENDO SER CANCELADO A QUALQUER MOMENTO PELA GOIÁSFOMENTO."</t>
        </r>
      </text>
    </comment>
    <comment ref="U58" authorId="0" shapeId="0">
      <text>
        <r>
          <rPr>
            <b/>
            <sz val="11"/>
            <color indexed="81"/>
            <rFont val="Tahoma"/>
            <family val="2"/>
          </rPr>
          <t>Maria Simone Guimarães:</t>
        </r>
        <r>
          <rPr>
            <sz val="11"/>
            <color indexed="81"/>
            <rFont val="Tahoma"/>
            <family val="2"/>
          </rPr>
          <t xml:space="preserve">
Vigência de acordo com lançamento da planilha CGE na intranet.</t>
        </r>
      </text>
    </comment>
  </commentList>
</comments>
</file>

<file path=xl/sharedStrings.xml><?xml version="1.0" encoding="utf-8"?>
<sst xmlns="http://schemas.openxmlformats.org/spreadsheetml/2006/main" count="18301" uniqueCount="3221">
  <si>
    <t>Posição em:</t>
  </si>
  <si>
    <t xml:space="preserve">                                                     Controle de Contratos e Convênios Administrativos - (Prestação de Serviços de Caráter Contínuo)                                                         </t>
  </si>
  <si>
    <t>PROCESSO</t>
  </si>
  <si>
    <t>Nº EDITAL DE LICITAÇÃO</t>
  </si>
  <si>
    <t>MODALIDADE</t>
  </si>
  <si>
    <t>CONTRATADA</t>
  </si>
  <si>
    <t>OBJETO</t>
  </si>
  <si>
    <t>VALOR ANUAL (R$)</t>
  </si>
  <si>
    <t>VIGÊNCIA</t>
  </si>
  <si>
    <t>SITUAÇÃO/DATA DE ASSINATURA DO ÚLTIMO TERMO ADITIVO</t>
  </si>
  <si>
    <t>CNPJ</t>
  </si>
  <si>
    <t>CERTIDÕES</t>
  </si>
  <si>
    <t>CORRESP</t>
  </si>
  <si>
    <t>DATA DO CONTRATO ORIGINAL</t>
  </si>
  <si>
    <t>DIAS P/COMP</t>
  </si>
  <si>
    <t>GESTOR</t>
  </si>
  <si>
    <t>RF</t>
  </si>
  <si>
    <t>PG</t>
  </si>
  <si>
    <t>MUN</t>
  </si>
  <si>
    <t>CEF</t>
  </si>
  <si>
    <t>PREV</t>
  </si>
  <si>
    <t>5 ANOS</t>
  </si>
  <si>
    <t>184/2002</t>
  </si>
  <si>
    <t>NH</t>
  </si>
  <si>
    <t>Inexigível</t>
  </si>
  <si>
    <t>SERASA Centralização de Serviços dos Bancos S/A</t>
  </si>
  <si>
    <t>CONVEM - REFIN SERASA</t>
  </si>
  <si>
    <r>
      <t xml:space="preserve">       60.000,00 </t>
    </r>
    <r>
      <rPr>
        <sz val="8"/>
        <color indexed="10"/>
        <rFont val="Arial"/>
        <family val="2"/>
      </rPr>
      <t>*</t>
    </r>
  </si>
  <si>
    <t>Em vigor: 4º Termo Aditivo/04-04-2006</t>
  </si>
  <si>
    <t>CCOBR</t>
  </si>
  <si>
    <t>3224/2001</t>
  </si>
  <si>
    <t>Credit Bureau SERASA</t>
  </si>
  <si>
    <r>
      <t xml:space="preserve">102.000,00 </t>
    </r>
    <r>
      <rPr>
        <sz val="9"/>
        <rFont val="Arial"/>
        <family val="2"/>
      </rPr>
      <t>*</t>
    </r>
  </si>
  <si>
    <r>
      <t>Em vigor: 4º Termo Aditivo</t>
    </r>
    <r>
      <rPr>
        <b/>
        <sz val="8"/>
        <rFont val="Arial"/>
        <family val="2"/>
      </rPr>
      <t>/</t>
    </r>
    <r>
      <rPr>
        <sz val="8"/>
        <rFont val="Arial"/>
        <family val="2"/>
      </rPr>
      <t>04-04-2006</t>
    </r>
  </si>
  <si>
    <t>COATE</t>
  </si>
  <si>
    <t>149/2004</t>
  </si>
  <si>
    <t>2/2004</t>
  </si>
  <si>
    <t>Convite</t>
  </si>
  <si>
    <t>J. A. &amp; S. Informática LTDA</t>
  </si>
  <si>
    <t>Desenvolvimento de Software´s</t>
  </si>
  <si>
    <t>Em vigor: 2º Termo Aditivo/28-04-2006</t>
  </si>
  <si>
    <t>COINF</t>
  </si>
  <si>
    <t>406/2001</t>
  </si>
  <si>
    <t>4/2001</t>
  </si>
  <si>
    <t>GoiásForte Vigilância e Segurança LTDA</t>
  </si>
  <si>
    <t>Vigilância armada</t>
  </si>
  <si>
    <t>58.102,44 *</t>
  </si>
  <si>
    <t>Em vigor: 9º Termo Aditivo/04-04-2006</t>
  </si>
  <si>
    <t>COSEP</t>
  </si>
  <si>
    <t>1621/2002</t>
  </si>
  <si>
    <t>RTM Rede de Comunicações p/ o Mercado</t>
  </si>
  <si>
    <t xml:space="preserve">Provedor Acesso SISBACEN </t>
  </si>
  <si>
    <t>6.635,76+CSM</t>
  </si>
  <si>
    <t>Em vigor: 3º Termo Aditivo/23-04-2006</t>
  </si>
  <si>
    <t>SEGER</t>
  </si>
  <si>
    <t>901/2006</t>
  </si>
  <si>
    <t>Dispensável</t>
  </si>
  <si>
    <t>WJN Servtek Prestadora de Serviços LTDA</t>
  </si>
  <si>
    <t>Locação de máquina fotocopiadora kiocera km 1505</t>
  </si>
  <si>
    <t>Em vigor: Contrato Original25-04-2006</t>
  </si>
  <si>
    <t>962/2002</t>
  </si>
  <si>
    <t>Dispensada</t>
  </si>
  <si>
    <t>Elevadores Atlas Schindler S/A</t>
  </si>
  <si>
    <t>Manutenção de Elevadores</t>
  </si>
  <si>
    <t>Em vigor: 4º Termo Aditivo/01-06-2006</t>
  </si>
  <si>
    <t>1602/2002</t>
  </si>
  <si>
    <t>7/2002</t>
  </si>
  <si>
    <t>Tomada de Preços</t>
  </si>
  <si>
    <t>Spot Representantes e Serviços LTDA</t>
  </si>
  <si>
    <t>Serviços de limpeza e conservação</t>
  </si>
  <si>
    <t>133.328,89 *</t>
  </si>
  <si>
    <t xml:space="preserve"> Em vigor: 4º Termo Aditivo/22-08-2006</t>
  </si>
  <si>
    <t>1235/2002</t>
  </si>
  <si>
    <t>Câmara dos Dirigentes Lojistas</t>
  </si>
  <si>
    <t>Informações Cadastrais SPC</t>
  </si>
  <si>
    <t>300,00+CST</t>
  </si>
  <si>
    <t>Em vigor: 4º Termo aditivo/16-08-2006</t>
  </si>
  <si>
    <t>1258/2006</t>
  </si>
  <si>
    <t>Ética Empresa Técnica de Informações Cadastrais LTDA</t>
  </si>
  <si>
    <t>Informações Cadastrais Cíveis</t>
  </si>
  <si>
    <t>1.346,40+CST</t>
  </si>
  <si>
    <t>Em vigor: Contrato Original/01-08-2006</t>
  </si>
  <si>
    <t>1495/2006</t>
  </si>
  <si>
    <t>Pureza Distribuidora de Água Mineral LTDA</t>
  </si>
  <si>
    <t>Aquisição de Água Mineral</t>
  </si>
  <si>
    <t>37.440,00 a</t>
  </si>
  <si>
    <t>Em vigor: 1º Termo Aditivo/04-01-2007</t>
  </si>
  <si>
    <t>1681/2006</t>
  </si>
  <si>
    <t>Estacionamento e Lavajato Bittar LTDA</t>
  </si>
  <si>
    <t>Locação de boxes p/ Estacionamento de Veículos</t>
  </si>
  <si>
    <t>Em vigor: Contrato Original/29-09-2006</t>
  </si>
  <si>
    <t>050/2003</t>
  </si>
  <si>
    <t>1/2003</t>
  </si>
  <si>
    <t>SodexHo Pass do Brasil Serviços e Comércio LTDA</t>
  </si>
  <si>
    <t>Vale alimentação</t>
  </si>
  <si>
    <t>Em vigor: 5º Termo Aditivo/08-08-2006</t>
  </si>
  <si>
    <t>COORH</t>
  </si>
  <si>
    <t>1024/2004</t>
  </si>
  <si>
    <t>Múlti Cópias Rio Bonito LTDA</t>
  </si>
  <si>
    <t>Encadernações</t>
  </si>
  <si>
    <r>
      <t xml:space="preserve">         6.000,00 </t>
    </r>
    <r>
      <rPr>
        <sz val="9"/>
        <color indexed="10"/>
        <rFont val="Arial"/>
        <family val="2"/>
      </rPr>
      <t>*</t>
    </r>
  </si>
  <si>
    <t>Em vigor: 2º Termo Aditivo/19-09-2006</t>
  </si>
  <si>
    <t>1670/2006</t>
  </si>
  <si>
    <t>TSD Distribuidora de Cartões LTDA</t>
  </si>
  <si>
    <t>Locação de um Terminal POS de Recarga Sit-Pass marca Hypercom modelo ICE 5000</t>
  </si>
  <si>
    <t>Em vigor: Contrato Original/26-09-2006</t>
  </si>
  <si>
    <t>674/2001</t>
  </si>
  <si>
    <t>7/2001</t>
  </si>
  <si>
    <t>Petroxaco Derivados de Petróleo LTDA</t>
  </si>
  <si>
    <t>Fornecimento Combustível</t>
  </si>
  <si>
    <t xml:space="preserve">72.000,00 *   </t>
  </si>
  <si>
    <t>Em Vigor: 5º Termo Aditivo/02-10-2006</t>
  </si>
  <si>
    <t>2277/2006</t>
  </si>
  <si>
    <t>Monitoramento alarme noturno c/ viatura 24hs</t>
  </si>
  <si>
    <t>Em vigor: Contrato Original/05-11-2006</t>
  </si>
  <si>
    <t>1217/2006</t>
  </si>
  <si>
    <t>ASMETRO - Assessoria em Segurança e Medicina do Trabalho LTDA</t>
  </si>
  <si>
    <t>Assessoria na Implantação e Desenvolvimento do PCMSO e PPRA</t>
  </si>
  <si>
    <t>Em vigor: Contrato Original/25-10-2006</t>
  </si>
  <si>
    <t>1908/2005</t>
  </si>
  <si>
    <t>Instituto Euvaldo Lodi - IEL Goiás</t>
  </si>
  <si>
    <t>Concessão de Bolsa Complementar Educacional</t>
  </si>
  <si>
    <r>
      <t xml:space="preserve">     217.497,60 </t>
    </r>
    <r>
      <rPr>
        <sz val="9"/>
        <color indexed="10"/>
        <rFont val="Arial"/>
        <family val="2"/>
      </rPr>
      <t>*</t>
    </r>
  </si>
  <si>
    <t>Em vigor: 1º Termo Aditivo/28/12/2006</t>
  </si>
  <si>
    <t>40/2007</t>
  </si>
  <si>
    <t>Associação Comercial e Industrial de Anápolis - ACIA</t>
  </si>
  <si>
    <t>Locação de uma Sala Comercial</t>
  </si>
  <si>
    <t>Em vigor: Contrato Original/01-11-2006</t>
  </si>
  <si>
    <t>1523/2002</t>
  </si>
  <si>
    <t>1/2002</t>
  </si>
  <si>
    <t>Credenciamento</t>
  </si>
  <si>
    <t>A &amp; C Assessoria Jurídica e Cobrança LTDA</t>
  </si>
  <si>
    <t>Advogatícios - Cobrança judicial</t>
  </si>
  <si>
    <t>FATURADO</t>
  </si>
  <si>
    <t>Em vigor: 5º Termo Aditivo/01-11-2006</t>
  </si>
  <si>
    <t>1601/2002</t>
  </si>
  <si>
    <t>Sousa e Carvalho Advogados Associados S/S</t>
  </si>
  <si>
    <t>2682/2006</t>
  </si>
  <si>
    <t>Directa Eletrônica LTDA</t>
  </si>
  <si>
    <t>Locação de uma Máquina c/ fotocopiadora, Impressora à Laser e Scanner Colorido</t>
  </si>
  <si>
    <t>6.000,00+CSM</t>
  </si>
  <si>
    <t>Em vigor: Contrato Original/16-11-2006</t>
  </si>
  <si>
    <t>601/2003</t>
  </si>
  <si>
    <t>Agência Goiana de Administração e Negócios Públicos - AGANP</t>
  </si>
  <si>
    <t>Acesso à intranet</t>
  </si>
  <si>
    <t>Em vigor: 3º Termo Aditivo/02-01-2007</t>
  </si>
  <si>
    <t>1592/2002</t>
  </si>
  <si>
    <t>6/2002</t>
  </si>
  <si>
    <t>Vera Cruz Vida e Previdência S/A</t>
  </si>
  <si>
    <t>Seguro em grupo servidores</t>
  </si>
  <si>
    <t>Em vigor: Renovação Automática</t>
  </si>
  <si>
    <t>629/2003</t>
  </si>
  <si>
    <t>Renata Gomes de Araújo Pinto - ME</t>
  </si>
  <si>
    <t>Manutenção telefones</t>
  </si>
  <si>
    <t>Em vigor: 4º Termo Aditivo/15-12-2006</t>
  </si>
  <si>
    <t>1630/2004</t>
  </si>
  <si>
    <t>Visual Systems Informática LTDA</t>
  </si>
  <si>
    <t>Tarifação Telefônica</t>
  </si>
  <si>
    <t>AUDIN</t>
  </si>
  <si>
    <t>908/2006</t>
  </si>
  <si>
    <t>2/2006</t>
  </si>
  <si>
    <t>JFM Informática LTDA</t>
  </si>
  <si>
    <t>Aquisição de 30 Licenças do Oracle c/ Treinamento, Atualização e Suporte Técnico</t>
  </si>
  <si>
    <t>Em vigor: Contrato Original/27-12-2006</t>
  </si>
  <si>
    <t>2483/2006</t>
  </si>
  <si>
    <t>1/2006</t>
  </si>
  <si>
    <t>Banco do Brasil S/A</t>
  </si>
  <si>
    <t>Serviços de Custódia Qualificada SELIC E CETIP</t>
  </si>
  <si>
    <t>Em vigor: Contrato Original/29-12-2006</t>
  </si>
  <si>
    <t>CONTA</t>
  </si>
  <si>
    <t>596/2003</t>
  </si>
  <si>
    <t>Empresa Brasileira de Correios e Telégrafos - ECT</t>
  </si>
  <si>
    <t>Correios</t>
  </si>
  <si>
    <t>180.695,82 *</t>
  </si>
  <si>
    <t>Em vigor: 3º Termo Aditivo/02-03-2007</t>
  </si>
  <si>
    <t>302/2005</t>
  </si>
  <si>
    <t>SEBRAE – GO</t>
  </si>
  <si>
    <t>Cursos e treinamentos</t>
  </si>
  <si>
    <t>Em vigor: 1º Termo Aditivo/27-12-2006</t>
  </si>
  <si>
    <t>COCAP</t>
  </si>
  <si>
    <t>HT Print do Brasil LTDA</t>
  </si>
  <si>
    <t>Locação de 2(duas) Máquinas c/ Impressora, Copiadora e Scanner</t>
  </si>
  <si>
    <t>3.600,00+CSM</t>
  </si>
  <si>
    <t>Em Vigor: Contrato Original/04-01-2007</t>
  </si>
  <si>
    <t>2490/2005</t>
  </si>
  <si>
    <t>2/2005</t>
  </si>
  <si>
    <t>PRIME Auditores Independentes S/S</t>
  </si>
  <si>
    <t>Auditoria Externa</t>
  </si>
  <si>
    <t>Em vigor: 1º Termo Aditivo/09-01-2007</t>
  </si>
  <si>
    <t>94/2005</t>
  </si>
  <si>
    <t>Moara COM. IND. de máquinas LTDA</t>
  </si>
  <si>
    <t>Locação de máquina de café</t>
  </si>
  <si>
    <t>Em vigor: 2º Termo Aditivo/27-02-2007</t>
  </si>
  <si>
    <t>176/2007</t>
  </si>
  <si>
    <t>Ecco Manutenção, Instalação Elétrica e Ar Condicionado LTDA</t>
  </si>
  <si>
    <t>Manutenção Energia Elétrica, Telefônica, Hidro-Sanitária e Ar Condicionado</t>
  </si>
  <si>
    <t>Em vigor: Contrato Original/12-02-2007</t>
  </si>
  <si>
    <t>382/2005</t>
  </si>
  <si>
    <t>Aviso Urgente Publicações LTDA</t>
  </si>
  <si>
    <t>Protocolo Processos judiciais</t>
  </si>
  <si>
    <t>Em vigor: 2º Termo Aditivo/28-02-2007</t>
  </si>
  <si>
    <t>ASJUR</t>
  </si>
  <si>
    <t>068/2003</t>
  </si>
  <si>
    <t>RM Sistemas LTDA</t>
  </si>
  <si>
    <t>Locação software folha pagamento</t>
  </si>
  <si>
    <t>Em vigor: 6º Termo Aditivo/05-03-2007</t>
  </si>
  <si>
    <t>179/2004</t>
  </si>
  <si>
    <t>Marista Moto Serviços LTDA</t>
  </si>
  <si>
    <t>Serviços de moto-boy</t>
  </si>
  <si>
    <t>6.000,00 *</t>
  </si>
  <si>
    <t>Em vigor: 3º Termo Aditivo/09-03-2007</t>
  </si>
  <si>
    <t>041/2003</t>
  </si>
  <si>
    <t>Sampa Produtos Eletrônicos LTDA</t>
  </si>
  <si>
    <t>Alarme contra incêndio</t>
  </si>
  <si>
    <t>Em vigor: 4º Termo Aditivo/03-04-2006</t>
  </si>
  <si>
    <t>021/2000</t>
  </si>
  <si>
    <t>Banco Central do Brasil</t>
  </si>
  <si>
    <t>Acesso ao SISBACEN</t>
  </si>
  <si>
    <r>
      <t xml:space="preserve">6.635,76 </t>
    </r>
    <r>
      <rPr>
        <sz val="9"/>
        <rFont val="Arial"/>
        <family val="2"/>
      </rPr>
      <t>*</t>
    </r>
  </si>
  <si>
    <t>Em vigor: 1º Termo Aditivo/04-10-2004</t>
  </si>
  <si>
    <t>1734/2005</t>
  </si>
  <si>
    <t>Caixa Econômica do Estado de Goiás - CAIXEGO</t>
  </si>
  <si>
    <t>Aluguel do prédio sede</t>
  </si>
  <si>
    <t>Em vigor: 2º Termo Aditivo/11-01-2006</t>
  </si>
  <si>
    <t>2878/2005</t>
  </si>
  <si>
    <t>13/2005</t>
  </si>
  <si>
    <t>Pregão</t>
  </si>
  <si>
    <t>Itautec Philco S/A</t>
  </si>
  <si>
    <t>Aquisição, Ativação e Manutenção de Servidores de Rede</t>
  </si>
  <si>
    <t>Em vigor: Contrato Original/30-01-2006</t>
  </si>
  <si>
    <t>752/2001</t>
  </si>
  <si>
    <t>Associação dos Bancos de Desenvolvimento Estaduais - ABDE</t>
  </si>
  <si>
    <t>Curso de Atualização de Técnicos da Agência</t>
  </si>
  <si>
    <t>indeterminado</t>
  </si>
  <si>
    <t>Em vigor:Renovação Automática</t>
  </si>
  <si>
    <t>* - Valor Estimado</t>
  </si>
  <si>
    <t>CSM - Excesso de Consumo</t>
  </si>
  <si>
    <t>CST - Consulta</t>
  </si>
  <si>
    <t>NH - Não Há</t>
  </si>
  <si>
    <t>a - Contrato com vigência semestral</t>
  </si>
  <si>
    <t>RESPONSÁVEL</t>
  </si>
  <si>
    <t>PRAZO A VENCER</t>
  </si>
  <si>
    <t>DATA DO</t>
  </si>
  <si>
    <t>CONTRATO ORIGINAL</t>
  </si>
  <si>
    <t>6 ANOS</t>
  </si>
  <si>
    <t>André Luiz</t>
  </si>
  <si>
    <t>Antônio Brasil</t>
  </si>
  <si>
    <t>Em vigor: 5º Termo aditivo/19-12-2007</t>
  </si>
  <si>
    <t>Geraldo</t>
  </si>
  <si>
    <t>Em vigor: 8º Termo Aditivo/30-11-2007</t>
  </si>
  <si>
    <t>038/2007</t>
  </si>
  <si>
    <t>1/2007</t>
  </si>
  <si>
    <t>Contratação de 2 postos de vigilância em 2 prédios da GoiásFomento</t>
  </si>
  <si>
    <t>Valéria</t>
  </si>
  <si>
    <t>Em vigor: 1º Termo Aditivo/11-03-2008</t>
  </si>
  <si>
    <t>Mª Aparecida</t>
  </si>
  <si>
    <t>Em vigor: 3º Termo Aditivo/19-09-2007</t>
  </si>
  <si>
    <t>Décio</t>
  </si>
  <si>
    <t>Em vigor: 1º Termo Aditivo/25-09-2007</t>
  </si>
  <si>
    <t>810/2007</t>
  </si>
  <si>
    <t xml:space="preserve">SERASA Centralização de Serviços dos Bancos S/A </t>
  </si>
  <si>
    <t>Credit Bureau SERASA e Credit Rating</t>
  </si>
  <si>
    <t>Marcos Aurélio</t>
  </si>
  <si>
    <t>115.491,84 *</t>
  </si>
  <si>
    <r>
      <t>Em vigor: Contrato Original</t>
    </r>
    <r>
      <rPr>
        <b/>
        <sz val="8"/>
        <rFont val="Arial"/>
        <family val="2"/>
      </rPr>
      <t>/</t>
    </r>
    <r>
      <rPr>
        <sz val="8"/>
        <rFont val="Arial"/>
        <family val="2"/>
      </rPr>
      <t>01-10-2007</t>
    </r>
  </si>
  <si>
    <t>Em vigor: 1º Termo Aditivo/31-10-2007</t>
  </si>
  <si>
    <t>Fábio</t>
  </si>
  <si>
    <t>Em vigor: 1º Termo Aditivo/15-10-2007</t>
  </si>
  <si>
    <t xml:space="preserve">Instituto Euvaldo Lodi - IEL Goiás </t>
  </si>
  <si>
    <t>Paulo Galeno</t>
  </si>
  <si>
    <t>258.278,40 *</t>
  </si>
  <si>
    <t>Em vigor: 2º Termo Aditivo/27-10-2007</t>
  </si>
  <si>
    <t xml:space="preserve">A &amp; C Assessoria Jurídica e Cobrança LTDA </t>
  </si>
  <si>
    <t>Camile</t>
  </si>
  <si>
    <t>Em vigor: 6º Termo Aditivo/16-10-2007</t>
  </si>
  <si>
    <t>COREC</t>
  </si>
  <si>
    <t>Ubiratan</t>
  </si>
  <si>
    <t>Em vigor: 1º Termo Aditivo/01-11-2007</t>
  </si>
  <si>
    <t xml:space="preserve">Sousa e Carvalho Advogados Associados S/S </t>
  </si>
  <si>
    <t>Wanderli</t>
  </si>
  <si>
    <t>Em vigor: 6º Termo Aditivo/29-10-2007</t>
  </si>
  <si>
    <t>Moisés</t>
  </si>
  <si>
    <t>6.377,04+CSM</t>
  </si>
  <si>
    <t>Em vigor: 1º Termo Aditivo/05-11-2007</t>
  </si>
  <si>
    <t>Manoel Xavier</t>
  </si>
  <si>
    <t>Em vigor: 4º Termo Aditivo/03-12-2007</t>
  </si>
  <si>
    <t>884/2007</t>
  </si>
  <si>
    <t>Leiloeiro Público Oficial Antônio Brasil II</t>
  </si>
  <si>
    <t>Prestação de Serviços de Leiloeiro</t>
  </si>
  <si>
    <t>5% de comissão b</t>
  </si>
  <si>
    <t>Em vigor: 3º Termo Aditivo/04-08-2008</t>
  </si>
  <si>
    <t>Maria Eudete</t>
  </si>
  <si>
    <r>
      <t xml:space="preserve">84.928,62 </t>
    </r>
    <r>
      <rPr>
        <vertAlign val="superscript"/>
        <sz val="8"/>
        <rFont val="Arial"/>
        <family val="2"/>
      </rPr>
      <t>a</t>
    </r>
  </si>
  <si>
    <t xml:space="preserve"> Em vigor: 7º Termo Aditivo/06-06-2008</t>
  </si>
  <si>
    <t>2321/2007</t>
  </si>
  <si>
    <t>Assisfone Teleinformática LTDA</t>
  </si>
  <si>
    <t>Manutenção Preventiva em Central Telefônica</t>
  </si>
  <si>
    <t>Sílvio Carlos</t>
  </si>
  <si>
    <t>Em Vigor:Contrato Original/19-12-2007</t>
  </si>
  <si>
    <t>2357/2007</t>
  </si>
  <si>
    <t xml:space="preserve">Locação de equipamentos de monitoramento de segurança </t>
  </si>
  <si>
    <t>Antônio Resende</t>
  </si>
  <si>
    <t>Em vigor: Contrato Original/28-12-2007</t>
  </si>
  <si>
    <t xml:space="preserve">Banco do Brasil S/A </t>
  </si>
  <si>
    <t>Sheila ou Fábio</t>
  </si>
  <si>
    <t>Em vigor: 1º Termo Aditivol/29-12-2007</t>
  </si>
  <si>
    <t>Antônio Henrique</t>
  </si>
  <si>
    <t>188.826,00 *</t>
  </si>
  <si>
    <t>Em vigor: 4º Termo Aditivo/02-01-2008</t>
  </si>
  <si>
    <t>598/2006</t>
  </si>
  <si>
    <t>Consultoria, Treinamento e Palestras destinadas a empresários e tomadores de crédito</t>
  </si>
  <si>
    <t>Carlos Alberto</t>
  </si>
  <si>
    <t>Em vigor: 3º Termo Aditivo/25-02-2008</t>
  </si>
  <si>
    <t>José Taveira</t>
  </si>
  <si>
    <t>-</t>
  </si>
  <si>
    <t>José Francisco</t>
  </si>
  <si>
    <t>Em vigor: 2º Termo Aditivo/15-01-2008</t>
  </si>
  <si>
    <t>Mário Paulo</t>
  </si>
  <si>
    <t>2329/2007</t>
  </si>
  <si>
    <t>Aquisição de 1.800 garrafões de 20 LTS de água mineral</t>
  </si>
  <si>
    <t>Mª Marly</t>
  </si>
  <si>
    <t>7.200,00*</t>
  </si>
  <si>
    <t>Em Vigor:Contrato Original/02-01-2008</t>
  </si>
  <si>
    <t>Ricardo</t>
  </si>
  <si>
    <t>Em vigor: 3º Termo Aditivo/03-03-2008</t>
  </si>
  <si>
    <t>2426/2007</t>
  </si>
  <si>
    <t>Locação de 3 (três) impressoras p&amp;b e 1 (uma) impressora colorida</t>
  </si>
  <si>
    <t>Tanyla</t>
  </si>
  <si>
    <t>9.000,00+CSM</t>
  </si>
  <si>
    <t>Em vigor: Contrato Original/06-02-2008</t>
  </si>
  <si>
    <t>Lourenço</t>
  </si>
  <si>
    <t>Em vigor: 1º Termo Aditivo/29-04-2008</t>
  </si>
  <si>
    <t>146/2008</t>
  </si>
  <si>
    <t>Zillion Comércio e Representações LTDA</t>
  </si>
  <si>
    <t>Fornecimento de Hardware e Licença do Software AKER</t>
  </si>
  <si>
    <t>Robson</t>
  </si>
  <si>
    <t>Em vigor: Contrato Original/22-02-2008</t>
  </si>
  <si>
    <t>Fornecimento de extratos judiciais</t>
  </si>
  <si>
    <t>Generino</t>
  </si>
  <si>
    <t>Em vigor: 4º Termo Aditivo/29-02-2008</t>
  </si>
  <si>
    <t>TOTVS S/A</t>
  </si>
  <si>
    <t>Juliana</t>
  </si>
  <si>
    <t>Em vigor: 8º Termo Aditivo/03-03-2008</t>
  </si>
  <si>
    <t>Gilmar</t>
  </si>
  <si>
    <t>Em vigor: 4º Termo Aditivo/10-03-2008</t>
  </si>
  <si>
    <t>José Alberto</t>
  </si>
  <si>
    <t>Em vigor: 4º Termo Aditivo/08-04-2008</t>
  </si>
  <si>
    <t>Luis Fernando</t>
  </si>
  <si>
    <t>7,140,00+CSM</t>
  </si>
  <si>
    <t>Em vigor: 5º Termo Aditivo/30-05-2008</t>
  </si>
  <si>
    <t>Justino</t>
  </si>
  <si>
    <t>4.200,00 *</t>
  </si>
  <si>
    <t>Em vigor: 2º Termo Aditivo/11-04-2008</t>
  </si>
  <si>
    <t>718/2008</t>
  </si>
  <si>
    <t>7.800,00 *</t>
  </si>
  <si>
    <t>Em vigor: Contrato Original/08-05-2008</t>
  </si>
  <si>
    <t>908/2008</t>
  </si>
  <si>
    <t>Manutenção Preventiva e Corretiva de 2 elevadores da sede da GoiásFomento</t>
  </si>
  <si>
    <t>Juscelino</t>
  </si>
  <si>
    <t>Em vigor: Contrato Original/20-06-2008</t>
  </si>
  <si>
    <t>936/2008</t>
  </si>
  <si>
    <t>Monitoramento de Alarme Contra Incêndio</t>
  </si>
  <si>
    <t>Em vigor: Contrato Original/18-06-2008</t>
  </si>
  <si>
    <t>1107/2007</t>
  </si>
  <si>
    <t>2/2007</t>
  </si>
  <si>
    <t>Elaine Platon Azevedo, Ana Maria Morais e Advogados Associados S/S</t>
  </si>
  <si>
    <t>Assessoria e Consultoria Jurídica Trabalhista</t>
  </si>
  <si>
    <t>Elaine</t>
  </si>
  <si>
    <t>Em vigor: 1º Termo Aditivo/28-07-2008</t>
  </si>
  <si>
    <t>Salim</t>
  </si>
  <si>
    <t>Em vigor: 3º Termo aditivo/31-07-2008</t>
  </si>
  <si>
    <t>1323/2008</t>
  </si>
  <si>
    <t>Convênio</t>
  </si>
  <si>
    <t>Centro Tecnológico Cambury LTDA</t>
  </si>
  <si>
    <t xml:space="preserve">Cooperação nas Áreas Educacional, Científica, Técnica e Cultural </t>
  </si>
  <si>
    <t>VARIÁVEL</t>
  </si>
  <si>
    <t>Em vigor: Contrato Original/14-08-2008</t>
  </si>
  <si>
    <t>1146/2008</t>
  </si>
  <si>
    <t>024/2007</t>
  </si>
  <si>
    <t>Star do Brasil Informática LTDA</t>
  </si>
  <si>
    <t>Fornecimento, Instalação e Assistência Técnica de 4 Servidores</t>
  </si>
  <si>
    <t>100.400,00 d</t>
  </si>
  <si>
    <t>Em vigor: Contrato Original/20-08-2008</t>
  </si>
  <si>
    <t>833/2007</t>
  </si>
  <si>
    <t>SERVCRED-GO</t>
  </si>
  <si>
    <t>Concessão de Empréstimos e Financiamentos mediante consignação em folha</t>
  </si>
  <si>
    <t>Humberto ou Valdi</t>
  </si>
  <si>
    <t>Em vigor: Contrato Original/07-05-2007</t>
  </si>
  <si>
    <t>b - Contrato com vigência quadrimestral</t>
  </si>
  <si>
    <t>c - Contrato com vigência trimestral</t>
  </si>
  <si>
    <t>d - Contrato com vigência trienal</t>
  </si>
  <si>
    <t xml:space="preserve"> Em vigor: 8º Termo Aditivo/10-12-2008</t>
  </si>
  <si>
    <t>Em vigor: 4º Termo Aditivo/04-12-2008</t>
  </si>
  <si>
    <t>Em vigor: 2º Termo Aditivo/26-08-2008</t>
  </si>
  <si>
    <t>Em vigor: 4º Termo Aditivo/18-09-2008</t>
  </si>
  <si>
    <t>Em vigor: 2º Termo Aditivo/24-09-2008</t>
  </si>
  <si>
    <t>Em vigor: 2º Termo Aditivo/07-11-2008</t>
  </si>
  <si>
    <t>1595/2008</t>
  </si>
  <si>
    <t>001/2008</t>
  </si>
  <si>
    <t>Combustíveis Rubi Ltda</t>
  </si>
  <si>
    <t>Fornecimento parcelado de Gasolina comum e álcool hidratado</t>
  </si>
  <si>
    <r>
      <t xml:space="preserve">98382,13 </t>
    </r>
    <r>
      <rPr>
        <b/>
        <sz val="8"/>
        <rFont val="Arial"/>
        <family val="2"/>
      </rPr>
      <t>*</t>
    </r>
  </si>
  <si>
    <t>7.156,92+CSM</t>
  </si>
  <si>
    <t>Em vigor: 2º Termo Aditivo/12-11-2008</t>
  </si>
  <si>
    <t>Em Vigor: 1º Termo Aditivo/19-12-2008</t>
  </si>
  <si>
    <t>Em vigor: 1º Termo Aditivo /28-12-2009</t>
  </si>
  <si>
    <t>Em vigor: 5º Termo Aditivo/16-12-2008</t>
  </si>
  <si>
    <t>Em vigor: 4º Termo Aditivo/17-12-2008</t>
  </si>
  <si>
    <t>2050/2008</t>
  </si>
  <si>
    <t>Nova Comércio de Tecnologias Ltda</t>
  </si>
  <si>
    <t>Fornecimento, Instalação e Assistência Técnica de 08 Switch 3com 200G 24 portas</t>
  </si>
  <si>
    <t>Em Vigor:Contrato Original 01/12/2008</t>
  </si>
  <si>
    <t>1164/2008</t>
  </si>
  <si>
    <t>072/2007</t>
  </si>
  <si>
    <t>Lenovo Tecnologia Brasil Ltda</t>
  </si>
  <si>
    <t>Fornecimento e Assistência Técnica de 40 computares e 03 Notebooks</t>
  </si>
  <si>
    <t>Resenha dos Contratos e Convênios Administrativos(Prestação de Serviços de Caráter Contínuo)</t>
  </si>
  <si>
    <t>SITUAÇÃO</t>
  </si>
  <si>
    <t>Em vigor através do 4º Termo Aditivo</t>
  </si>
  <si>
    <t>Dispensa</t>
  </si>
  <si>
    <t>2.298,48 *</t>
  </si>
  <si>
    <t>Em vigor através do 2º Termo Aditivo</t>
  </si>
  <si>
    <t>Renovação Automática</t>
  </si>
  <si>
    <t>Contrato Original</t>
  </si>
  <si>
    <t>454/2003</t>
  </si>
  <si>
    <t>Brasif S/A Exportação e Importação</t>
  </si>
  <si>
    <t>Locação Máquina copiadora</t>
  </si>
  <si>
    <t>8.713,92+CSM</t>
  </si>
  <si>
    <t>Em vigor através do 1º Termo Aditivo</t>
  </si>
  <si>
    <t>Em vigor através do 3º Termo Aditivo</t>
  </si>
  <si>
    <t>3036/2005</t>
  </si>
  <si>
    <t>Campos Escritório de Advocacia S/S</t>
  </si>
  <si>
    <t>Consultoria/Assessoria Fomentar</t>
  </si>
  <si>
    <t>4062/2001</t>
  </si>
  <si>
    <t>CS Sistemas e Equipamentos de Segurança LTDA</t>
  </si>
  <si>
    <t>Monitoramento alarme</t>
  </si>
  <si>
    <t>Em vigor através do 5º Termo Aditivo</t>
  </si>
  <si>
    <t>1286/2001</t>
  </si>
  <si>
    <t>ECCO Manutenção &amp; Instalação Elétrica e Ar Condicionado LTDA</t>
  </si>
  <si>
    <t>Manutenção elétrica e hidráulica</t>
  </si>
  <si>
    <t>Manutênção de elevadores</t>
  </si>
  <si>
    <r>
      <t xml:space="preserve">     126.960,00</t>
    </r>
    <r>
      <rPr>
        <sz val="9"/>
        <rFont val="Arial"/>
        <family val="2"/>
      </rPr>
      <t xml:space="preserve"> </t>
    </r>
    <r>
      <rPr>
        <sz val="9"/>
        <color indexed="10"/>
        <rFont val="Arial"/>
        <family val="2"/>
      </rPr>
      <t>*</t>
    </r>
  </si>
  <si>
    <t>811/2004</t>
  </si>
  <si>
    <t>Estacionamento de Veículos</t>
  </si>
  <si>
    <t>020/2000</t>
  </si>
  <si>
    <t>Ética E. T. Inf. Cadastrais LTDA</t>
  </si>
  <si>
    <t>Informações Cadastrais cíveis</t>
  </si>
  <si>
    <t>52.929,00 *</t>
  </si>
  <si>
    <t>Em vigor através do 7º Termo Aditivo</t>
  </si>
  <si>
    <t>024/2000</t>
  </si>
  <si>
    <t>Monitoramento alarme noturno c/viat 24</t>
  </si>
  <si>
    <t>Em vigor através do 10º Termo Aditivo</t>
  </si>
  <si>
    <t>Carta Convite</t>
  </si>
  <si>
    <t>7.200,00 *</t>
  </si>
  <si>
    <t>1438/2001</t>
  </si>
  <si>
    <t>Morada Imóveis LTDA</t>
  </si>
  <si>
    <t>Aluguel filial Anápolis</t>
  </si>
  <si>
    <r>
      <t xml:space="preserve">         6000,00 </t>
    </r>
    <r>
      <rPr>
        <sz val="9"/>
        <color indexed="10"/>
        <rFont val="Arial"/>
        <family val="2"/>
      </rPr>
      <t>*</t>
    </r>
  </si>
  <si>
    <t>6.600,00 *</t>
  </si>
  <si>
    <t>6635,76 *</t>
  </si>
  <si>
    <t>113/2001</t>
  </si>
  <si>
    <t>Credit Rating SERASA</t>
  </si>
  <si>
    <t>Concorrência</t>
  </si>
  <si>
    <t>Em vigor através do 3º e 4º Termos Aditivos</t>
  </si>
  <si>
    <t>150.117,06 *</t>
  </si>
  <si>
    <t>fatura</t>
  </si>
  <si>
    <t>*  Valor Estimado</t>
  </si>
  <si>
    <t xml:space="preserve">Posição em: </t>
  </si>
  <si>
    <t>DATA DO CONTRATO</t>
  </si>
  <si>
    <t>ORIGINAL</t>
  </si>
  <si>
    <t>1346,40+CST</t>
  </si>
  <si>
    <r>
      <t xml:space="preserve">800,00 </t>
    </r>
    <r>
      <rPr>
        <b/>
        <vertAlign val="superscript"/>
        <sz val="9"/>
        <rFont val="Arial"/>
        <family val="2"/>
      </rPr>
      <t>b</t>
    </r>
  </si>
  <si>
    <t>Em vigor: 3º Termo Aditivo/31-10-2007</t>
  </si>
  <si>
    <t>Em vigor: 7º Termo Aditivo/28-12-2007</t>
  </si>
  <si>
    <t>Alarme contra Incêndio</t>
  </si>
  <si>
    <t>5% de comissão</t>
  </si>
  <si>
    <t>Em vigor: 1º Termo Aditivo/06-12-2007</t>
  </si>
  <si>
    <t>Em vigor: 3º Termo Aditivo/30-04-2007</t>
  </si>
  <si>
    <t>Em vigor: 4º Termo Aditivo/30-03-2007</t>
  </si>
  <si>
    <t>Em vigor: 1º Termo Aditivo/10-04-2007</t>
  </si>
  <si>
    <t>7.006,08 *</t>
  </si>
  <si>
    <t>Em vigor: 5º Termo Aditivo/07-05-2007</t>
  </si>
  <si>
    <t>Em vigor: 5º Termo Aditivo/01-06-2007</t>
  </si>
  <si>
    <r>
      <t xml:space="preserve">84.928,62 </t>
    </r>
    <r>
      <rPr>
        <vertAlign val="superscript"/>
        <sz val="9"/>
        <rFont val="Arial"/>
        <family val="2"/>
      </rPr>
      <t>a</t>
    </r>
  </si>
  <si>
    <t xml:space="preserve"> Em vigor: 6º Termo Aditivo/07-12-2007</t>
  </si>
  <si>
    <t>002/2007</t>
  </si>
  <si>
    <t>Em vigor: Contrato Original/25-07-2007</t>
  </si>
  <si>
    <t>Em vigor: 2º Termo aditivo/19-12-2007</t>
  </si>
  <si>
    <t>38/2007</t>
  </si>
  <si>
    <t>001/2007</t>
  </si>
  <si>
    <t>Em vigor: Contrato Original/03-09-2007</t>
  </si>
  <si>
    <t>6.635,76 *</t>
  </si>
  <si>
    <t>Em vigor: 2º Termo Aditivo/</t>
  </si>
  <si>
    <t>Em vigor: 2º Termo Aditivo/14-12-2007</t>
  </si>
  <si>
    <t>Em vigor:2º Termo Aditivo/15-01-2008</t>
  </si>
  <si>
    <r>
      <t xml:space="preserve">SERASA Centralização de Serviços dos Bancos S/A </t>
    </r>
    <r>
      <rPr>
        <sz val="8"/>
        <color indexed="10"/>
        <rFont val="Arial"/>
        <family val="2"/>
      </rPr>
      <t>em trâmite</t>
    </r>
  </si>
  <si>
    <r>
      <t xml:space="preserve">Ética Empresa Técnica de Informações Cadastrais LTDA </t>
    </r>
    <r>
      <rPr>
        <sz val="8"/>
        <color indexed="10"/>
        <rFont val="Arial"/>
        <family val="2"/>
      </rPr>
      <t>em trâmite</t>
    </r>
  </si>
  <si>
    <t>Seguro em Grupo Servidores</t>
  </si>
  <si>
    <r>
      <t xml:space="preserve">800,00 </t>
    </r>
    <r>
      <rPr>
        <b/>
        <vertAlign val="superscript"/>
        <sz val="8"/>
        <rFont val="Arial"/>
        <family val="2"/>
      </rPr>
      <t>b</t>
    </r>
  </si>
  <si>
    <t>884-2007</t>
  </si>
  <si>
    <t>Serviços de limpeza e conservação( FAZER CARTA EM MARÇO, AVISANDO LICITAÇ)</t>
  </si>
  <si>
    <t>2321-2007</t>
  </si>
  <si>
    <t>2357-2007</t>
  </si>
  <si>
    <t>2329-2007</t>
  </si>
  <si>
    <t>2426-2007</t>
  </si>
  <si>
    <t>Em vigor: 10º Termo Aditivo/04-08-2008</t>
  </si>
  <si>
    <t>84.928,62 c</t>
  </si>
  <si>
    <t>003/2008</t>
  </si>
  <si>
    <t>Link Consultores e Digitalização LTDA</t>
  </si>
  <si>
    <t>Proteção, segurança e compliance para desktops e servidores com instalação e manutenção</t>
  </si>
  <si>
    <t>Em vigor: Contrato Original/09-02-2009</t>
  </si>
  <si>
    <t>346/2009</t>
  </si>
  <si>
    <t>Em vigor: Contrato Original/17-03-2009</t>
  </si>
  <si>
    <t>Em vigor: 1º Termo Aditivo/06-02-2008</t>
  </si>
  <si>
    <t>Em vigor: 4º Termo Aditivo/19-02-2009</t>
  </si>
  <si>
    <t>1575/2007</t>
  </si>
  <si>
    <t>Metropolitan Life Seguros e Previdência Privada S/A</t>
  </si>
  <si>
    <t>Seguro de vida em grupo dos colaboradores da GoiásFomento</t>
  </si>
  <si>
    <t>2051/2008</t>
  </si>
  <si>
    <t>Em vigor: 2º Termo Aditivo/03-03-2009</t>
  </si>
  <si>
    <t>Em vigor: Contrato Original/01-10-2008</t>
  </si>
  <si>
    <t>Combustíveis Rubi LTDA</t>
  </si>
  <si>
    <t>129.705,12 *</t>
  </si>
  <si>
    <r>
      <t>Em vigor: 1º Termo Aditivo</t>
    </r>
    <r>
      <rPr>
        <b/>
        <sz val="8"/>
        <rFont val="Arial"/>
        <family val="2"/>
      </rPr>
      <t>/</t>
    </r>
    <r>
      <rPr>
        <sz val="8"/>
        <rFont val="Arial"/>
        <family val="2"/>
      </rPr>
      <t>30-12-2008</t>
    </r>
  </si>
  <si>
    <t>Em vigor: 2º Termo Aditivo/19-01-2009</t>
  </si>
  <si>
    <t>Em vigor:Contrato Original/16-10-2008</t>
  </si>
  <si>
    <t>Em vigor:Contrato Original/07-05-2007</t>
  </si>
  <si>
    <t>Em vigor:Contrato Original/20-08-2008</t>
  </si>
  <si>
    <t>Em vigor: 2º Termo Aditivo/15-10-2008</t>
  </si>
  <si>
    <t>Em Vigor:Contrato Original/20-08-2008</t>
  </si>
  <si>
    <t>38.640,00 d</t>
  </si>
  <si>
    <t>VARIÁVEL f</t>
  </si>
  <si>
    <t>90.271,10 e</t>
  </si>
  <si>
    <t>VARIÁVEL e</t>
  </si>
  <si>
    <t>Em Vigor: Contrato Original /03-11-2008</t>
  </si>
  <si>
    <t>Nova Comércio de Tecnologias LTDA</t>
  </si>
  <si>
    <r>
      <t xml:space="preserve">98.382,13 </t>
    </r>
    <r>
      <rPr>
        <b/>
        <sz val="8"/>
        <rFont val="Arial"/>
        <family val="2"/>
      </rPr>
      <t>*</t>
    </r>
  </si>
  <si>
    <t>15.900,00</t>
  </si>
  <si>
    <t>21.785,16</t>
  </si>
  <si>
    <t>32.400,00</t>
  </si>
  <si>
    <t>2.048,88</t>
  </si>
  <si>
    <t>434.882,03 a</t>
  </si>
  <si>
    <t>15.600,00</t>
  </si>
  <si>
    <t>10930,00</t>
  </si>
  <si>
    <t>2.601,12</t>
  </si>
  <si>
    <t>15.867,84</t>
  </si>
  <si>
    <t>5.940,00</t>
  </si>
  <si>
    <t>8.004,24</t>
  </si>
  <si>
    <t>23.172,00</t>
  </si>
  <si>
    <t>14.400,00</t>
  </si>
  <si>
    <t>135.054,00</t>
  </si>
  <si>
    <r>
      <t xml:space="preserve">         6.000,00 </t>
    </r>
    <r>
      <rPr>
        <sz val="9"/>
        <rFont val="Arial"/>
        <family val="2"/>
      </rPr>
      <t>*</t>
    </r>
  </si>
  <si>
    <t>1.759,32</t>
  </si>
  <si>
    <t>15.556,56</t>
  </si>
  <si>
    <t>15.960,00</t>
  </si>
  <si>
    <t>5.420,80</t>
  </si>
  <si>
    <t>11.320,56</t>
  </si>
  <si>
    <t>6.600,00</t>
  </si>
  <si>
    <t>32,246,69</t>
  </si>
  <si>
    <t>11.880,00</t>
  </si>
  <si>
    <t>91.290,00</t>
  </si>
  <si>
    <t>Em vigor: Contrato Original/16-10-2008</t>
  </si>
  <si>
    <t>Em Vigor: Contrato Original /20/08/2008</t>
  </si>
  <si>
    <t>Em vigor: 3º Termo Aditivo/15-01-2009</t>
  </si>
  <si>
    <t xml:space="preserve">a - Contrato com vigência semestral                            </t>
  </si>
  <si>
    <t xml:space="preserve">b - Contrato com vigência quadrimestral                             </t>
  </si>
  <si>
    <t xml:space="preserve">c - Contrato com vigência trimestral                             </t>
  </si>
  <si>
    <t>f  - Contrato com vigência quinquenal</t>
  </si>
  <si>
    <t>e - Contrato com vigência quadrienal</t>
  </si>
  <si>
    <t xml:space="preserve">                                                     Resenha dos Contratos e Convênios Administrativos - (Prestação de Serviços de Caráter Contínuo)                                                         </t>
  </si>
  <si>
    <t>CONTRATADA (PARTES)</t>
  </si>
  <si>
    <t>8.208,00+CSM</t>
  </si>
  <si>
    <t>Em vigor: Contrato Original/23-04-2009</t>
  </si>
  <si>
    <t>Em vigor: 5º Termo Aditivo/06-04-2009</t>
  </si>
  <si>
    <t>1323/2007</t>
  </si>
  <si>
    <t>Em vigor: 1º Termo Aditivo/21-06-2009</t>
  </si>
  <si>
    <t>Em vigor: 1º Termo Aditivo/19-06-2009</t>
  </si>
  <si>
    <t>Em vigor: 2º Termo Aditivo/20-07-2009</t>
  </si>
  <si>
    <t>Em vigor: 4º Termo aditivo/31-07-2009</t>
  </si>
  <si>
    <t>1063/2009</t>
  </si>
  <si>
    <t>Café Rancheiro Agro Industrial LTDA</t>
  </si>
  <si>
    <t>Locação de máquina de café expresso marca SPIDEM DIGITAL</t>
  </si>
  <si>
    <t>Em vigor: Contrato Original/15-06-2009</t>
  </si>
  <si>
    <t>845/2009</t>
  </si>
  <si>
    <t>1115/2009</t>
  </si>
  <si>
    <t>002/2009</t>
  </si>
  <si>
    <t>Policard Systems e Serviços S/A</t>
  </si>
  <si>
    <t>Emissão de Cartões Eletrônicos p/ o Benefício Auxílio Alimentação</t>
  </si>
  <si>
    <t>Em vigor: Contrato Original/12-08-2009</t>
  </si>
  <si>
    <t>949/2009</t>
  </si>
  <si>
    <t xml:space="preserve">NH </t>
  </si>
  <si>
    <t>Locação de uma Fotocopiadora Multifuncional Digital a Laser</t>
  </si>
  <si>
    <t>Em Vigor:Contrato Original/09-06-2009</t>
  </si>
  <si>
    <t>744/2009</t>
  </si>
  <si>
    <t>Ribeiro Júnior Comércio de Informática e Suprimentos LTDA</t>
  </si>
  <si>
    <t>Assistência Técnica dos Equipamentos de Informática da GoiásFomento</t>
  </si>
  <si>
    <t>Em vigor:Contrato Original/26-05-2009</t>
  </si>
  <si>
    <t>Em vigor: 5º Termo Aditivo/20-09-2009</t>
  </si>
  <si>
    <t>Em vigor: 3º Termo Aditivo/26-10-2009</t>
  </si>
  <si>
    <t>858/2009</t>
  </si>
  <si>
    <t>001/2009</t>
  </si>
  <si>
    <t>Prest Serves LTDA</t>
  </si>
  <si>
    <t>Serviços Terceirizados de Copeira, Serviços Gerais, Recepcionista e Encarregado de Turma</t>
  </si>
  <si>
    <t>Em vigor: Contrato Original/11-08-2009</t>
  </si>
  <si>
    <t>Prestação de Serviços de Admissão de Estudantes-Estagiários</t>
  </si>
  <si>
    <t>229.824,00 *</t>
  </si>
  <si>
    <t>Em vigor: 4º Termo Aditivo/27-10-2009</t>
  </si>
  <si>
    <t xml:space="preserve">TOTVS S/A </t>
  </si>
  <si>
    <t>Cessão de Uso de Sistemas RM LABORE, RM VITAE e RM BONUM</t>
  </si>
  <si>
    <t>Em vigor: Contrato Original/10-03-2009</t>
  </si>
  <si>
    <t>626/2009</t>
  </si>
  <si>
    <t>Em vigor: 3º Termo Aditivo/01-09-2009</t>
  </si>
  <si>
    <t>Em vigor: 3º Termo Aditivo/20-10-2009</t>
  </si>
  <si>
    <t>Pregão Presencial</t>
  </si>
  <si>
    <t>Em Vigor: 1º Termo Aditivo/29-10-2009</t>
  </si>
  <si>
    <t>Em vigor: 3º Termo Aditivo/05-11-2009</t>
  </si>
  <si>
    <t>948/2009</t>
  </si>
  <si>
    <t>Pregão Eletrônico</t>
  </si>
  <si>
    <t>Supricopy Suprimentos e Equipamentos Reprográficos LTDA - ME</t>
  </si>
  <si>
    <t>Locação de 15 Impressoras Laser Marcas Brother, exceto papel</t>
  </si>
  <si>
    <t>15.900,00+CSM</t>
  </si>
  <si>
    <t>Em vigor: Contrato Original/09-10-2009</t>
  </si>
  <si>
    <t>282/2009</t>
  </si>
  <si>
    <t>Construção de Rotinas Automatizadas p/ implantação do Crédito Automático, FCO, BNDES e ECD</t>
  </si>
  <si>
    <t>Em vigor: Contrato Original/01-09-2009</t>
  </si>
  <si>
    <t>Em Vigor: 2º Termo Aditivo/</t>
  </si>
  <si>
    <t>Em vigor: 7º Termo Aditivo/13-11-2009</t>
  </si>
  <si>
    <t>Em Vigor: 2º Termo Aditivo/19-12-2009</t>
  </si>
  <si>
    <t>1542/2009</t>
  </si>
  <si>
    <t>Monitoramento Eletrônico em 3 prédios da GoiásFomento</t>
  </si>
  <si>
    <t>Em vigor: Contrato Original/30-11-2009</t>
  </si>
  <si>
    <t>1318/2009</t>
  </si>
  <si>
    <t>003/2009</t>
  </si>
  <si>
    <t>Top Net Papéis e Informática LTDA</t>
  </si>
  <si>
    <t>Fornecimento, Instalação e Assistência Técnica de Aparelhos de Refrigeração do tipo split</t>
  </si>
  <si>
    <t>Em vigor: Contrato Original/23-11-2009</t>
  </si>
  <si>
    <t>1923/2009</t>
  </si>
  <si>
    <t>EMBRATEL - Empresa Brasileira de Telecomunicações S/A</t>
  </si>
  <si>
    <t>Implantação e Configuração de um circuito de 2MBPS para Rede INTERNET</t>
  </si>
  <si>
    <t>Em vigor: Contrato Original/22-12-2009</t>
  </si>
  <si>
    <t>1779/2009</t>
  </si>
  <si>
    <t>Brava Comercial LTDA</t>
  </si>
  <si>
    <t>Fornecimento de 300 caixas de papel tipo A4, contendo 10 resmas cada</t>
  </si>
  <si>
    <t>Em vigor: Contrato Original/21-12-2009</t>
  </si>
  <si>
    <t>Gráfica e Editora Aliança LTDA</t>
  </si>
  <si>
    <t>Fornecimento de 120.000 unidades de envelope com janela</t>
  </si>
  <si>
    <t>Em vigor: Contrato Original/18-12-2009</t>
  </si>
  <si>
    <t>Em vigor: Apólice/01-10-2009</t>
  </si>
  <si>
    <t>Em vigor: 2º Termo Aditivo /</t>
  </si>
  <si>
    <t>CPL</t>
  </si>
  <si>
    <t>Em vigor: 1º Termo Aditivo/17-03-2010</t>
  </si>
  <si>
    <t>Em vigor: 3º Termo Aditivo/03-03-2010</t>
  </si>
  <si>
    <t>Em vigor: 6º Termo Aditivo/25-02-2010</t>
  </si>
  <si>
    <t>Contratação de 3 postos de vigilância em 3 prédios da GoiásFomento</t>
  </si>
  <si>
    <t>Locação de 20 Impressoras Laser Marcas Brother, exceto papel</t>
  </si>
  <si>
    <t>19.432,80+CSM</t>
  </si>
  <si>
    <t>Credit Bureau SERASA, Credit Rating e INFOBUSCA</t>
  </si>
  <si>
    <r>
      <t>Em vigor: 2º Termo Aditivo</t>
    </r>
    <r>
      <rPr>
        <b/>
        <sz val="8"/>
        <rFont val="Arial"/>
        <family val="2"/>
      </rPr>
      <t>/</t>
    </r>
    <r>
      <rPr>
        <sz val="8"/>
        <rFont val="Arial"/>
        <family val="2"/>
      </rPr>
      <t>30-09-2009</t>
    </r>
  </si>
  <si>
    <t>1872/2009</t>
  </si>
  <si>
    <t>69.230,91 *</t>
  </si>
  <si>
    <t>Em vigor: Contrato Original/04-01-2010</t>
  </si>
  <si>
    <t>Em vigor: 3º Termo Aditivo/02-03-2010</t>
  </si>
  <si>
    <t>Em Vigor: 2º Termo Aditivo/23-12-2009</t>
  </si>
  <si>
    <t>Em vigor: 5º Termo Aditivo/24-11-2009</t>
  </si>
  <si>
    <t>9.816,00+CSM</t>
  </si>
  <si>
    <t>Em vigor: 1º Termo Aditivo/22-04-2010</t>
  </si>
  <si>
    <t>311/2010</t>
  </si>
  <si>
    <t>001/2010</t>
  </si>
  <si>
    <t>Diretriz Consultoria Empresarial LTDA</t>
  </si>
  <si>
    <t>Elaboração, Implantação e Acompanhamento de Políticas e Estratégias de Risco de Crédito</t>
  </si>
  <si>
    <t>Em vigor: Contrato Original/12-04-2010</t>
  </si>
  <si>
    <t>Em vigor: 2º Termo Aditivo/14-06-2010</t>
  </si>
  <si>
    <t>Em vigor: 2º Termo Aditivo/21-06-2009</t>
  </si>
  <si>
    <t>2.040,00+CSM</t>
  </si>
  <si>
    <t>Em vigor: 1º Termo Aditivo/1º-07-2010</t>
  </si>
  <si>
    <t>6.644,16+CSM</t>
  </si>
  <si>
    <t>Em Vigor:1º Termo Aditivo/09-06-2009</t>
  </si>
  <si>
    <t>306/2010</t>
  </si>
  <si>
    <t>2/2010</t>
  </si>
  <si>
    <t>Manutenção de Sistemas de Informações denominado "CADASTRO"</t>
  </si>
  <si>
    <t>Em vigor: Contrato Original/20-05-2010</t>
  </si>
  <si>
    <t>Em vigor: 1º Termo Aditivo/20-04-2010</t>
  </si>
  <si>
    <t>312/2010</t>
  </si>
  <si>
    <t>003/2010</t>
  </si>
  <si>
    <t>DIGIDOC Digitalização e Microfilmagem LTDA - ME</t>
  </si>
  <si>
    <t>Serviços de Fotocópias de Microfichas e Microfilmes de Documentos da extinta CAIXEGO</t>
  </si>
  <si>
    <t>34.800,00 *</t>
  </si>
  <si>
    <t>Em Vigor: Contrato Original/07-06-2010</t>
  </si>
  <si>
    <t>1594/2009</t>
  </si>
  <si>
    <t>027/2009</t>
  </si>
  <si>
    <t>Valspe Comércio de Informática LTDA - ME</t>
  </si>
  <si>
    <t>Fornecimento e Assistência Técnica de 4 microcomputadores HP, modelo XW4600</t>
  </si>
  <si>
    <t>Em vigor: Contrato Original/18-02-2010</t>
  </si>
  <si>
    <t>Em vigor: 3º Termo Aditivo/04-08-2010</t>
  </si>
  <si>
    <t>Em vigor:1º Termo Aditivo/27-07-2010</t>
  </si>
  <si>
    <t>Garra Forte LTDA</t>
  </si>
  <si>
    <t>Serviços de Limpeza, Conservação e outras avenças</t>
  </si>
  <si>
    <t>Em Vigor: 3º Termo Aditivo/05-08-2010</t>
  </si>
  <si>
    <t>Em vigor: 5º Termo Aditivo/31-08-2010</t>
  </si>
  <si>
    <t>1 - ASPRE Sr. Luiz Lucas Alves</t>
  </si>
  <si>
    <t>DIDEP</t>
  </si>
  <si>
    <t>718/2008 1749/2009</t>
  </si>
  <si>
    <t>e - Contrato com vigência bimestral</t>
  </si>
  <si>
    <t>2.025,38 e</t>
  </si>
  <si>
    <t>Em vigor: 4º Termo Aditivo/13-10-2010</t>
  </si>
  <si>
    <t>Em vigor: 2º Termo Aditivo/25-10-2010</t>
  </si>
  <si>
    <t>7.713,00+CSM</t>
  </si>
  <si>
    <t>Em vigor: 4º Termo Aditivo/03-11-2010</t>
  </si>
  <si>
    <t>287.280,00 *</t>
  </si>
  <si>
    <t>579/2009</t>
  </si>
  <si>
    <t>Em vigor: 1º Termo Aditivo/18-10-2010</t>
  </si>
  <si>
    <t>989/2010</t>
  </si>
  <si>
    <t>Encadernações, Fotocópias Coloridas e Simples</t>
  </si>
  <si>
    <r>
      <t xml:space="preserve">         7.000,00 </t>
    </r>
    <r>
      <rPr>
        <sz val="9"/>
        <color indexed="10"/>
        <rFont val="Arial"/>
        <family val="2"/>
      </rPr>
      <t>*</t>
    </r>
  </si>
  <si>
    <t>Em vigor: Contrato Original/22/10/2010</t>
  </si>
  <si>
    <t>Em vigor: Apólice/01-10-2010</t>
  </si>
  <si>
    <t>Em Vigor: 2º Termo Aditivo/22-10-2010</t>
  </si>
  <si>
    <t>Em vigor: 1º Termo Aditivo/04-11-2010</t>
  </si>
  <si>
    <t>792/2010</t>
  </si>
  <si>
    <t>054/2009</t>
  </si>
  <si>
    <t>Fornecimento de 2 Servidores de Rede c/ 4 núcleos marca IBM, Modelo X-3550-M2 Part Number 7946-3AU</t>
  </si>
  <si>
    <t>28.992,00 d</t>
  </si>
  <si>
    <t>Em vigor: Contrato Original/30-09-2010</t>
  </si>
  <si>
    <t>633.531.561-00</t>
  </si>
  <si>
    <t>03.374.422/0001-15</t>
  </si>
  <si>
    <t>33.530.486/0001-29</t>
  </si>
  <si>
    <t>37.266.251/0001-22</t>
  </si>
  <si>
    <t>00.000.000/0001-91</t>
  </si>
  <si>
    <t>01.270.058/0001-16</t>
  </si>
  <si>
    <t>01.269.984/0001-73</t>
  </si>
  <si>
    <t>05.757.378/0001-58</t>
  </si>
  <si>
    <t>07.033.317/0001-73</t>
  </si>
  <si>
    <t>07.262.535/0001-80</t>
  </si>
  <si>
    <t>00.904.951/0001-95</t>
  </si>
  <si>
    <t>02.193.998/0001-13</t>
  </si>
  <si>
    <t>00.190.951/0001-70</t>
  </si>
  <si>
    <t>53.113.791/0001-85</t>
  </si>
  <si>
    <t>04.503.820/0001-57</t>
  </si>
  <si>
    <t>03.341.541/0001-71</t>
  </si>
  <si>
    <t>26.929.943/0001-97</t>
  </si>
  <si>
    <t>02.329.217/0001-75</t>
  </si>
  <si>
    <t>03.809.965/0001-18</t>
  </si>
  <si>
    <t>02.924.249/0001-19</t>
  </si>
  <si>
    <t>00.028.986/0009-65</t>
  </si>
  <si>
    <t>00.816.257/0001-16</t>
  </si>
  <si>
    <t>72.643.943/0001-43</t>
  </si>
  <si>
    <t>00.283.018/0001-48</t>
  </si>
  <si>
    <t>02.102.498/0001-29</t>
  </si>
  <si>
    <t>03.793.622/0001-02</t>
  </si>
  <si>
    <t>00.287.987/0001-77</t>
  </si>
  <si>
    <t>02.425.111/0001-75</t>
  </si>
  <si>
    <t>01.647.296/0001-08</t>
  </si>
  <si>
    <t>03.049.593/0001-08</t>
  </si>
  <si>
    <t>34.028.316/0013-47</t>
  </si>
  <si>
    <t>05.847.161/0001-39</t>
  </si>
  <si>
    <t>07.703.024/0001-56</t>
  </si>
  <si>
    <t>07.275.920/0001-61</t>
  </si>
  <si>
    <t>00.038.166/0001-05</t>
  </si>
  <si>
    <t>08.342.480/0001-80</t>
  </si>
  <si>
    <t>33.972.464/0001-19</t>
  </si>
  <si>
    <t>Associação Brasileira das Instituições Financeiras de Desenvolvimento</t>
  </si>
  <si>
    <t>Em vigor: 3º Termo Aditivo/09-11-2010</t>
  </si>
  <si>
    <t>394.062,86 * a</t>
  </si>
  <si>
    <t>Em vigor: 10º Termo Aditivo/17-11-2010</t>
  </si>
  <si>
    <t>Em vigor: 5º Termo Aditivo/05-01-2011</t>
  </si>
  <si>
    <t>853/2010</t>
  </si>
  <si>
    <t>Locação de 11(onze) Vagas de Estacionamento Coberto</t>
  </si>
  <si>
    <t>Em Vigor: Contrato Original/15-12-2010</t>
  </si>
  <si>
    <t>f - Contrato com vigência mensal</t>
  </si>
  <si>
    <t>7.740,00*</t>
  </si>
  <si>
    <t>Em Vigor: 3º Termo Aditivo/29-12-2010</t>
  </si>
  <si>
    <t>Em Vigor: Contrato Original /20-08-2008</t>
  </si>
  <si>
    <t>Registro de Preços</t>
  </si>
  <si>
    <t>004/2010</t>
  </si>
  <si>
    <t>Em vigor: 4º Termo Aditivo/18-01-2010</t>
  </si>
  <si>
    <t>05.919.906/0001-28</t>
  </si>
  <si>
    <t>Em vigor: 4º Termo Aditivo/22-10-2010</t>
  </si>
  <si>
    <t>Em Vigor: 3º Termo Aditivo/20-12-2010</t>
  </si>
  <si>
    <t>Em vigor: 1º Termo Aditivo/04-01-2011</t>
  </si>
  <si>
    <t>Serviços de Postagem e venda de produtos que atendam às necessidades da GoiásFomento</t>
  </si>
  <si>
    <t>Em vigor: 4º Termo Aditivo/25-01-2011</t>
  </si>
  <si>
    <t>0900/2010</t>
  </si>
  <si>
    <t>Infomais Sistemas LTDA - ME</t>
  </si>
  <si>
    <t>Serviços de Desenvolvimento de uma Solução Informatizada(software), Visando o Controle de Operações Financeiras da GoiásFomento</t>
  </si>
  <si>
    <t xml:space="preserve">76.950,00 a </t>
  </si>
  <si>
    <t>Em vigor: Contrato Original/18-01-2011</t>
  </si>
  <si>
    <t>1030/2010</t>
  </si>
  <si>
    <t>Diagnósticos da América S/A - Divisão Atalaia</t>
  </si>
  <si>
    <t>Em vigor:Contrato Original/16-11-2010</t>
  </si>
  <si>
    <t>10.144.880/0001-23</t>
  </si>
  <si>
    <t>005/2010</t>
  </si>
  <si>
    <t>Concessão de 30%(trinta por cento) de Desconto sobre Os Preços da Tabela Particular de Exames Laboratoriais aos empregados da GoiásFomento e seus dependentes</t>
  </si>
  <si>
    <t>1255/2010</t>
  </si>
  <si>
    <t>001/2011</t>
  </si>
  <si>
    <t>CPA - Consultoria e Projetos LTDA</t>
  </si>
  <si>
    <t>Precificação dos Direitos Creditórios oriundos do FCVS</t>
  </si>
  <si>
    <t>02.201.473/0001-82</t>
  </si>
  <si>
    <t>047/2011</t>
  </si>
  <si>
    <t>Auditoria na Revisão dos Procedimentos do FCVS</t>
  </si>
  <si>
    <t>Em vigor: 4º Termo Aditivo/16-02-2011</t>
  </si>
  <si>
    <t>Em vigor: 2º Termo Aditivo/03-03-2011</t>
  </si>
  <si>
    <t>1577/2010</t>
  </si>
  <si>
    <t>15.900,00 *</t>
  </si>
  <si>
    <t>Em vigor: Contrato Original/25-02-2011</t>
  </si>
  <si>
    <t>Aguardando Termo Aditivo de Renovação</t>
  </si>
  <si>
    <t>1553/2010</t>
  </si>
  <si>
    <t>MH Confeitaria e Lanchonete LTDA</t>
  </si>
  <si>
    <t xml:space="preserve">6.952,80 a </t>
  </si>
  <si>
    <t>Aquisição de Pães e Roscas aos Colaboradores e Estagiários da GoiásFomento</t>
  </si>
  <si>
    <t>01.383.061/0001-48</t>
  </si>
  <si>
    <t xml:space="preserve">Ética Empresa Técnica de Informações Cadastrais LTDA </t>
  </si>
  <si>
    <t>039/2011</t>
  </si>
  <si>
    <t>Dallari Associados Advocacia</t>
  </si>
  <si>
    <t>Prestação de Serviços para Elaboração de Parecer Jurídico</t>
  </si>
  <si>
    <t>Encerrado em 10-02-2011/26-01-2011</t>
  </si>
  <si>
    <t>Encerrado em 12-03-2011/01-02-2011</t>
  </si>
  <si>
    <t>Encerrado em 28-02-2011/01-03-2010</t>
  </si>
  <si>
    <t>131/2011</t>
  </si>
  <si>
    <t>Fornecimento de Recortes de Publicações Judiciais em Forma de Carta Impressa</t>
  </si>
  <si>
    <t>Em vigor: Contrato Original/01-03-2011</t>
  </si>
  <si>
    <t>DIAS P/ COMP</t>
  </si>
  <si>
    <t>VALORES PAGOS NO EXERCÍCIO 2011</t>
  </si>
  <si>
    <t>JANEIRO</t>
  </si>
  <si>
    <t>FEVEREIRO</t>
  </si>
  <si>
    <t>MARÇO</t>
  </si>
  <si>
    <t>ABRIL</t>
  </si>
  <si>
    <t>MAIO</t>
  </si>
  <si>
    <t>JUNHO</t>
  </si>
  <si>
    <t>JULHO</t>
  </si>
  <si>
    <t>AGOSTO</t>
  </si>
  <si>
    <t>SETEMBRO</t>
  </si>
  <si>
    <t>OUTUBRO</t>
  </si>
  <si>
    <t>NOVEMBRO</t>
  </si>
  <si>
    <t>DEZEMBRO</t>
  </si>
  <si>
    <t>63.931,80 40d</t>
  </si>
  <si>
    <t>DATA DA CORRESP</t>
  </si>
  <si>
    <t>Encerrado em 12-04-2011/04-03-2011</t>
  </si>
  <si>
    <t>Em vigor: 2º Termo Aditivo/02-03-2011</t>
  </si>
  <si>
    <t>61.486.650/0289-40</t>
  </si>
  <si>
    <t>1749/2009</t>
  </si>
  <si>
    <t>01.643.840/0001-35</t>
  </si>
  <si>
    <t>06.217.362/0001-80</t>
  </si>
  <si>
    <t xml:space="preserve"> 129.705,12 *</t>
  </si>
  <si>
    <t>Em Vigor: 2º Termo Aditivo/02-05-2011</t>
  </si>
  <si>
    <t>Em vigor: 1º Termo Aditivo/02-05-2011</t>
  </si>
  <si>
    <t>305/2011</t>
  </si>
  <si>
    <t>Licença de Uso de Software</t>
  </si>
  <si>
    <t>Em Vigor: Contrato Original/14-04-2011</t>
  </si>
  <si>
    <t>10.885,92+CSM</t>
  </si>
  <si>
    <t>Em vigor: 2º Termo Aditivo/25-05-2011</t>
  </si>
  <si>
    <t xml:space="preserve">143.640,00 * a </t>
  </si>
  <si>
    <t>7.293,00+CSM</t>
  </si>
  <si>
    <t>Em Vigor:2º Termo Aditivo/08-06-2011</t>
  </si>
  <si>
    <t>Em vigor: 3º Termo Aditivo/08-06-2011</t>
  </si>
  <si>
    <t>Em Vigor: 1º Termo Aditivo/17-06-2011</t>
  </si>
  <si>
    <t>539/2011</t>
  </si>
  <si>
    <t>VIVO S/A</t>
  </si>
  <si>
    <t>Prestação de Serviço Móvel Pessoal - SMP com fornecimento de aparelhos celulares</t>
  </si>
  <si>
    <t>f - Contrato com vigência de 30 meses</t>
  </si>
  <si>
    <t>30.912,32 * f</t>
  </si>
  <si>
    <t>Em vigor:Contrato Original/07-06-2011</t>
  </si>
  <si>
    <t>02.449.992/0089-04</t>
  </si>
  <si>
    <t>Em vigor:3º Termo Aditivo/18-04-2011</t>
  </si>
  <si>
    <t>02.738.926/0001-04</t>
  </si>
  <si>
    <t>2.171,40+CSM</t>
  </si>
  <si>
    <t>Em vigor: 2º Termo Aditivo/13-06-2011</t>
  </si>
  <si>
    <t>Em vigor: 4º Termo Aditivo/15-07-2011</t>
  </si>
  <si>
    <t>Em vigor: 12º Termo Aditivo/25-07-2011</t>
  </si>
  <si>
    <t>810/2011</t>
  </si>
  <si>
    <t>AGOS - Associação Goiana de Supermercados</t>
  </si>
  <si>
    <t>Locação de Estande no Centro de Convenções de Goiânia para o Evento da SUPERAGOS 2011</t>
  </si>
  <si>
    <t>02.360.212/0001-05</t>
  </si>
  <si>
    <t>894/2011</t>
  </si>
  <si>
    <t>Câmara dos Dirigentes Lojistas de Goiânia - CDL</t>
  </si>
  <si>
    <t>Acesso Instantâneo às Informações Cadastrais do Banco de Dados da CDL</t>
  </si>
  <si>
    <t>36.000,00 *</t>
  </si>
  <si>
    <t>Em Vigor:Contrato Original/26-08-2011</t>
  </si>
  <si>
    <t>1221/2011</t>
  </si>
  <si>
    <t>Consultoria em Mapeamento e Gestão de Processos</t>
  </si>
  <si>
    <t>7.080,00 60d</t>
  </si>
  <si>
    <t>Em Vigor:Contrato Original/31-08-2011</t>
  </si>
  <si>
    <t>BP Company Sistemas LTDA</t>
  </si>
  <si>
    <t>1074/2011</t>
  </si>
  <si>
    <t>Master Auditores Independentes S/S</t>
  </si>
  <si>
    <t>Estudo Técnico do Crédito Tributário para o Balanço do 1º Semestre do Ano de 2011 da GoiásFomento</t>
  </si>
  <si>
    <t>9.500,00 15d</t>
  </si>
  <si>
    <t>Encerrado em 17-08-2011/03-08-2011</t>
  </si>
  <si>
    <t>55.517.452/0001-37</t>
  </si>
  <si>
    <t>11.893.003/0001-18</t>
  </si>
  <si>
    <t>00.558.913/0001-18</t>
  </si>
  <si>
    <t>TOTAL PG EM 2011</t>
  </si>
  <si>
    <t>TOTAL GERAL</t>
  </si>
  <si>
    <t>DATA</t>
  </si>
  <si>
    <t>CONTRATO</t>
  </si>
  <si>
    <t>1332/2011</t>
  </si>
  <si>
    <t>Narciso e Mesquita LTDA</t>
  </si>
  <si>
    <t>Aquisição de Lanches para os colaboradores e estagiários da GoiásFomento</t>
  </si>
  <si>
    <t>9681,00 a</t>
  </si>
  <si>
    <t>Em vigor/Contrato Original: 30-09-2011</t>
  </si>
  <si>
    <t>1356/2011</t>
  </si>
  <si>
    <t>CONTARH - Consultoria em Desenvolvimento Humano S/S</t>
  </si>
  <si>
    <t>Serviços de Consultoria para Ministrar Palestra de Motivação aos Colaboradores da GoiásFomento</t>
  </si>
  <si>
    <t>1383/2011</t>
  </si>
  <si>
    <t>L&amp;L Luminosos e Totens LTDA</t>
  </si>
  <si>
    <t xml:space="preserve">Serviços de Confecção e Instalação de Letreiro na fachada do Prédio da GoiásFomento </t>
  </si>
  <si>
    <t>Em vigor/Contrato Original: 26-09-2011</t>
  </si>
  <si>
    <t>Encerrado em 01-08-2011</t>
  </si>
  <si>
    <t>Encerrado em 22-09-2011</t>
  </si>
  <si>
    <t>00.328.261/0001-35</t>
  </si>
  <si>
    <t>DIRAF</t>
  </si>
  <si>
    <t>07.141.885/0001-98</t>
  </si>
  <si>
    <t>13.815.587/0001-39</t>
  </si>
  <si>
    <t>Em vigor: 5º Termo Aditivo/10-10-2011</t>
  </si>
  <si>
    <t>Em vigor: 1º Termo Aditivo/14-10-2011</t>
  </si>
  <si>
    <t>Em vigor: 3º Termo Aditivo/20-10-2011</t>
  </si>
  <si>
    <t>1359/2011</t>
  </si>
  <si>
    <t>Editora NJ LTDA</t>
  </si>
  <si>
    <t>Assinatura de Boletim de Licitações e Contratos</t>
  </si>
  <si>
    <t>Em vigor: Contrato Original/26-10-2011</t>
  </si>
  <si>
    <t>95.177,07 *</t>
  </si>
  <si>
    <t>Em Vigor: 3º Termo Aditivo/31-10-2011</t>
  </si>
  <si>
    <t>5% de comissão dos valores arrematados b</t>
  </si>
  <si>
    <t xml:space="preserve">                                                     Planilha de Contratos - (Prestação de Serviços de Caráter Contínuo)                                                         </t>
  </si>
  <si>
    <t>Em vigor: º Termo Aditivo/</t>
  </si>
  <si>
    <t>Em vigor: 6º Termo Aditivo/07-11-2011</t>
  </si>
  <si>
    <t xml:space="preserve">1.078.555,52* </t>
  </si>
  <si>
    <t>1618/2011</t>
  </si>
  <si>
    <t>PRO Placas Indústria e Comércio de Placas LTDA</t>
  </si>
  <si>
    <t>Revestimento de Painel Publicitário da GoiásFomento</t>
  </si>
  <si>
    <t>7.100,00 60d</t>
  </si>
  <si>
    <t>Em vigor: Contrato Original/17-11-2011</t>
  </si>
  <si>
    <t>Em vigor: 2º Termo Aditivo/25-11-2011</t>
  </si>
  <si>
    <t>Monitoramento Eletrônico com apoio tático em 3 prédios da GoiásFomento</t>
  </si>
  <si>
    <t>Encerrado em 09-09-2011/29-07-2011</t>
  </si>
  <si>
    <t>1636/2011</t>
  </si>
  <si>
    <t>Consultare Assessoria Empresarial LTDA - ME</t>
  </si>
  <si>
    <t>Mapeamento e Aprimoramento de Processos Internos da GoiásFomento</t>
  </si>
  <si>
    <t>6.720,00 c</t>
  </si>
  <si>
    <t>g - Contrato com vigência de 30 dias</t>
  </si>
  <si>
    <t>Em vigor: 13º Termo Aditivo/07-12-2011</t>
  </si>
  <si>
    <t>Em vigor:Contrato Original/30-11-2011</t>
  </si>
  <si>
    <t>1385/2011</t>
  </si>
  <si>
    <t>O. R. Reformas &amp; Pinturas Prediais LTDA</t>
  </si>
  <si>
    <t>Pintura da Fachada Externa do Prédio da GoiásFomento</t>
  </si>
  <si>
    <t>Em vigor:Contrato Original/30-09-2011</t>
  </si>
  <si>
    <t>Encerrado</t>
  </si>
  <si>
    <t xml:space="preserve">Encerrado </t>
  </si>
  <si>
    <t>ASGER</t>
  </si>
  <si>
    <t>54.102.785/0001-32</t>
  </si>
  <si>
    <t>Em vigor:4º Termo Aditivo/20-12-2011</t>
  </si>
  <si>
    <t>Em vigor: 2º Termo Aditivo/03-01-2012</t>
  </si>
  <si>
    <t>Em Vigor: 1º Termo Aditivo/31/01/2012</t>
  </si>
  <si>
    <t>8.249,16+CSM</t>
  </si>
  <si>
    <t>Em vigor: 5º Termo Aditivo/31/01/2012</t>
  </si>
  <si>
    <t>Em vigor: 5º Termo Aditivo/09-02-2012</t>
  </si>
  <si>
    <t>1580/2010</t>
  </si>
  <si>
    <t>Brasil Telecom S/A</t>
  </si>
  <si>
    <t>Prestação de Serviço Fixo Comutado - STFC</t>
  </si>
  <si>
    <t>152.484,00 *</t>
  </si>
  <si>
    <t>Em vigor: Contrato Original/13-02-2012</t>
  </si>
  <si>
    <t>2157/2011</t>
  </si>
  <si>
    <t>Sindicato das Empresas de Transporte Coletivo Urbano de Passageiros de Goiânia - SETRANSP</t>
  </si>
  <si>
    <t>Fornecimento de Vales-Transporte para os colaboradores da GoiásFomento</t>
  </si>
  <si>
    <t>85.680,00 *</t>
  </si>
  <si>
    <t>Em vigor: Contrato Original/24-02-2012</t>
  </si>
  <si>
    <t>Em vigor: 3º Termo Aditivo/22-02-2012</t>
  </si>
  <si>
    <t>Em vigor: 14º Termo Aditivo/24-02-2012</t>
  </si>
  <si>
    <t>BNDES - Banco Nacional de Desenvolvimento Econômico e Social</t>
  </si>
  <si>
    <t>Agente Especial de Financiamento Especial - FINAME</t>
  </si>
  <si>
    <t>Em vigor: Contrato Original/20-10-2000</t>
  </si>
  <si>
    <t>Em vigor: 2º Termo Aditivo/06-12-2011</t>
  </si>
  <si>
    <t>Repasse e Aplicação do FCO - Fundo Constitucional de Financiamento do Centro-Oeste</t>
  </si>
  <si>
    <t>MARGEM</t>
  </si>
  <si>
    <t>Editora NDJ LTDA</t>
  </si>
  <si>
    <t>Em vigor: 7º Termo Aditivo/04-01-2012</t>
  </si>
  <si>
    <t>Em vigor: 1º Termo Aditivo/24-02-2012</t>
  </si>
  <si>
    <t>Em vigor: 1º Termo Aditivo/17-02-2012</t>
  </si>
  <si>
    <t>33.638.032/0001-76</t>
  </si>
  <si>
    <t>9681,60 a</t>
  </si>
  <si>
    <t>Pão Cotidiano LTDA</t>
  </si>
  <si>
    <t>Em vigor:1º Termo Aditivo/16-01-2012</t>
  </si>
  <si>
    <t>14.488.807/0001-20</t>
  </si>
  <si>
    <t>Em vigor: 5º Termo Aditivo/31-01-2012</t>
  </si>
  <si>
    <t>Em Vigor: 1º Termo Aditivo/31-01-2012</t>
  </si>
  <si>
    <t xml:space="preserve">CONTRATO </t>
  </si>
  <si>
    <t>Garra Forte LTDA  ASJUR PROVIDENCIANDO</t>
  </si>
  <si>
    <t>TOTVS S/A FALTANDO PUBLICAÇÃO</t>
  </si>
  <si>
    <t>Em vigor: Apólice/01-10-2011</t>
  </si>
  <si>
    <t>Contratos e Convênios Firmados pela GoiásFomento</t>
  </si>
  <si>
    <r>
      <t xml:space="preserve">BNDES - Banco Nacional de Desenvolvimento Econômico e Social </t>
    </r>
    <r>
      <rPr>
        <b/>
        <sz val="10"/>
        <rFont val="Arial"/>
        <family val="2"/>
      </rPr>
      <t>H</t>
    </r>
  </si>
  <si>
    <r>
      <rPr>
        <b/>
        <sz val="10"/>
        <rFont val="Arial"/>
        <family val="2"/>
      </rPr>
      <t>H</t>
    </r>
    <r>
      <rPr>
        <sz val="10"/>
        <rFont val="Arial"/>
        <family val="2"/>
      </rPr>
      <t xml:space="preserve"> </t>
    </r>
    <r>
      <rPr>
        <sz val="9"/>
        <rFont val="Arial"/>
        <family val="2"/>
      </rPr>
      <t>- Convênio</t>
    </r>
  </si>
  <si>
    <t>VALOR</t>
  </si>
  <si>
    <t>76.950,00 a</t>
  </si>
  <si>
    <t>1691/2010</t>
  </si>
  <si>
    <t>Fornecimento de Água Mineral</t>
  </si>
  <si>
    <t>7.740,00 *</t>
  </si>
  <si>
    <t>Em vigor:Contrato Original/29-12-2010</t>
  </si>
  <si>
    <t>00.250.577/0001-51</t>
  </si>
  <si>
    <t>33.657.248/0001-89</t>
  </si>
  <si>
    <t>05.387.9020001-46</t>
  </si>
  <si>
    <t>08.819.287/0001-98</t>
  </si>
  <si>
    <t>Encerrado em 14-12-2011/31-10-2011</t>
  </si>
  <si>
    <t>Encerrado em 01-01-2011/23-12-2009</t>
  </si>
  <si>
    <t>INICIAL R$</t>
  </si>
  <si>
    <t>6.000,00 + CSM</t>
  </si>
  <si>
    <t>98.312,13 *</t>
  </si>
  <si>
    <t>8.208,00 + CSM</t>
  </si>
  <si>
    <t>6.377,04 + CSM</t>
  </si>
  <si>
    <t>2.040,00 + CSM</t>
  </si>
  <si>
    <t>822.706,26 *</t>
  </si>
  <si>
    <t>15.900,00 + CSM</t>
  </si>
  <si>
    <t>79.590,00 *</t>
  </si>
  <si>
    <t>7.000,00 *</t>
  </si>
  <si>
    <t>Em vigor: 5º Termo Aditivo/28-12-2011</t>
  </si>
  <si>
    <t> 33.657.248/0001-89</t>
  </si>
  <si>
    <t>Em Vigor:2º Termo Aditivo/28-12-2011</t>
  </si>
  <si>
    <t>Em vigor: Contrato Original/30-11-2011</t>
  </si>
  <si>
    <t>Encerrado em 26-10-2011/02-05-2011</t>
  </si>
  <si>
    <t>VALORES PAGOS NO EXERCÍCIO 2012</t>
  </si>
  <si>
    <t>NP</t>
  </si>
  <si>
    <t>TOTAL PG EM 2012</t>
  </si>
  <si>
    <t>9.681,60 a</t>
  </si>
  <si>
    <t>BNDES - Banco Nacional de Desenvolvimento Econômico e Social H</t>
  </si>
  <si>
    <t>1691/2011</t>
  </si>
  <si>
    <t>115/2009</t>
  </si>
  <si>
    <t>593/2011</t>
  </si>
  <si>
    <t>001/2006</t>
  </si>
  <si>
    <t>VALORES PAGOS</t>
  </si>
  <si>
    <t>EM 2011</t>
  </si>
  <si>
    <t xml:space="preserve">                                                     Planilha de Contratos e Convênios - (Prestação de Serviços de Caráter Contínuo)                                                         </t>
  </si>
  <si>
    <t>Posição em: 31-12-2011</t>
  </si>
  <si>
    <r>
      <rPr>
        <b/>
        <u/>
        <sz val="12"/>
        <rFont val="Arial"/>
        <family val="2"/>
      </rPr>
      <t>NOTA</t>
    </r>
    <r>
      <rPr>
        <b/>
        <sz val="12"/>
        <rFont val="Arial"/>
        <family val="2"/>
      </rPr>
      <t>:</t>
    </r>
    <r>
      <rPr>
        <sz val="12"/>
        <rFont val="Arial"/>
        <family val="2"/>
      </rPr>
      <t xml:space="preserve"> </t>
    </r>
    <r>
      <rPr>
        <i/>
        <sz val="12"/>
        <rFont val="Arial"/>
        <family val="2"/>
      </rPr>
      <t>Quanto ao item VIII do § 1º,  art. 10 da Resolução TCE-GO 001-2003, temos a informar que as metas e acordos dos contratos e convênios desta planilha obedecem a plena conformidade ao art. 10, IV da referida norma.</t>
    </r>
  </si>
  <si>
    <t>383/2012</t>
  </si>
  <si>
    <t>All Telecomunicações LTDA</t>
  </si>
  <si>
    <t>Manutenção Preventiva da Central Telefônica e Software de Tarifação</t>
  </si>
  <si>
    <t>Em vigor: Contrato Original/29-03-2012</t>
  </si>
  <si>
    <t>06.997.321/0001-99</t>
  </si>
  <si>
    <t>413/2012</t>
  </si>
  <si>
    <t>Block Sat Sistemas de Segurança LTDA - ME</t>
  </si>
  <si>
    <t>Rastreamento Via Satélite com monitoramento Via INTERNET de 10 veículos da GoiásFomento</t>
  </si>
  <si>
    <t>Em vigor: Contrato Original/30-03-2012</t>
  </si>
  <si>
    <t>26.924.621/0001-55</t>
  </si>
  <si>
    <t>663/2011</t>
  </si>
  <si>
    <t>003/2011</t>
  </si>
  <si>
    <t>CIEE - Centro de Integração Escola Empresa</t>
  </si>
  <si>
    <t>Concessão de Bolsa de Complementação Educacional</t>
  </si>
  <si>
    <t>286.020,00 *</t>
  </si>
  <si>
    <t>Em vigor: Contrato Original/02-04-2012</t>
  </si>
  <si>
    <t>61.600.839/0001-55</t>
  </si>
  <si>
    <t>099/2012</t>
  </si>
  <si>
    <t>Prime Auditores Independentes S/S</t>
  </si>
  <si>
    <t>Auditoria Independente para Apresentação do Relatório de Revisão dos Procedimentos Adotados para o Recolhimento do FCVS</t>
  </si>
  <si>
    <t>Em vigor: Contrato Original/15-03-2012</t>
  </si>
  <si>
    <t>Em vigor: 3º Termo Aditivo/08-03-2012</t>
  </si>
  <si>
    <t xml:space="preserve">Garra Forte LTDA  </t>
  </si>
  <si>
    <t>VERIFICAR VALORES PAGOS APÓS</t>
  </si>
  <si>
    <t xml:space="preserve">Centro Tecnológico Cambury LTDA </t>
  </si>
  <si>
    <t>NP - Não Prorrogável</t>
  </si>
  <si>
    <t>664/2012</t>
  </si>
  <si>
    <t>Rotinas Informatizadas de Controle de Escrituração Fiscal Digital PIS/COFINS</t>
  </si>
  <si>
    <t>13.860,00 e</t>
  </si>
  <si>
    <t>Em vigor:Contrato Original/27-04-2012</t>
  </si>
  <si>
    <t>665/2012</t>
  </si>
  <si>
    <t>Contratação de 120 horas de Realização de Consultoria do Planejamento Estratégico 2012/2015</t>
  </si>
  <si>
    <t>SC</t>
  </si>
  <si>
    <t>275/2012</t>
  </si>
  <si>
    <t>ACCERTE Tecnologia da Informação LTDA</t>
  </si>
  <si>
    <t>Instalação de Sistema de Gerenciamento de Banco de Dados no Servidor IBM da GF</t>
  </si>
  <si>
    <t>Em vigor:Contrato Original/30-03-2012</t>
  </si>
  <si>
    <t>7.800,00 *  AUT</t>
  </si>
  <si>
    <r>
      <rPr>
        <b/>
        <i/>
        <sz val="10"/>
        <rFont val="Arial"/>
        <family val="2"/>
      </rPr>
      <t>*</t>
    </r>
    <r>
      <rPr>
        <sz val="8"/>
        <rFont val="Arial"/>
        <family val="2"/>
      </rPr>
      <t xml:space="preserve"> - </t>
    </r>
    <r>
      <rPr>
        <sz val="10"/>
        <rFont val="Arial"/>
        <family val="2"/>
      </rPr>
      <t>Valor Estimado</t>
    </r>
  </si>
  <si>
    <r>
      <rPr>
        <b/>
        <i/>
        <sz val="10"/>
        <rFont val="Arial"/>
        <family val="2"/>
      </rPr>
      <t>SC</t>
    </r>
    <r>
      <rPr>
        <sz val="10"/>
        <rFont val="Arial"/>
        <family val="2"/>
      </rPr>
      <t xml:space="preserve"> - Sem Custo</t>
    </r>
  </si>
  <si>
    <r>
      <rPr>
        <b/>
        <i/>
        <sz val="10"/>
        <rFont val="Arial"/>
        <family val="2"/>
      </rPr>
      <t>AUT</t>
    </r>
    <r>
      <rPr>
        <sz val="8"/>
        <rFont val="Arial"/>
        <family val="2"/>
      </rPr>
      <t xml:space="preserve"> -</t>
    </r>
    <r>
      <rPr>
        <sz val="10"/>
        <rFont val="Arial"/>
        <family val="2"/>
      </rPr>
      <t xml:space="preserve"> Prorrogação Automática</t>
    </r>
  </si>
  <si>
    <t>Encerrado em     o posto foi vendido</t>
  </si>
  <si>
    <r>
      <t xml:space="preserve">6.800,00 </t>
    </r>
    <r>
      <rPr>
        <sz val="10"/>
        <rFont val="Arial"/>
        <family val="2"/>
      </rPr>
      <t>h</t>
    </r>
  </si>
  <si>
    <r>
      <rPr>
        <b/>
        <sz val="9"/>
        <rFont val="Arial"/>
        <family val="2"/>
      </rPr>
      <t>a</t>
    </r>
    <r>
      <rPr>
        <sz val="9"/>
        <rFont val="Arial"/>
        <family val="2"/>
      </rPr>
      <t xml:space="preserve"> - Contrato com vigência semestral</t>
    </r>
  </si>
  <si>
    <r>
      <rPr>
        <b/>
        <sz val="9"/>
        <rFont val="Arial"/>
        <family val="2"/>
      </rPr>
      <t>b</t>
    </r>
    <r>
      <rPr>
        <sz val="9"/>
        <rFont val="Arial"/>
        <family val="2"/>
      </rPr>
      <t xml:space="preserve"> - Contrato com vigência quadrimestral</t>
    </r>
  </si>
  <si>
    <r>
      <rPr>
        <b/>
        <sz val="9"/>
        <rFont val="Arial"/>
        <family val="2"/>
      </rPr>
      <t>c</t>
    </r>
    <r>
      <rPr>
        <sz val="9"/>
        <rFont val="Arial"/>
        <family val="2"/>
      </rPr>
      <t xml:space="preserve"> - Contrato com vigência trimestral</t>
    </r>
  </si>
  <si>
    <r>
      <rPr>
        <b/>
        <sz val="9"/>
        <rFont val="Arial"/>
        <family val="2"/>
      </rPr>
      <t>d</t>
    </r>
    <r>
      <rPr>
        <sz val="9"/>
        <rFont val="Arial"/>
        <family val="2"/>
      </rPr>
      <t xml:space="preserve"> - Contrato com vigência trienal</t>
    </r>
  </si>
  <si>
    <r>
      <rPr>
        <b/>
        <sz val="9"/>
        <rFont val="Arial"/>
        <family val="2"/>
      </rPr>
      <t>e</t>
    </r>
    <r>
      <rPr>
        <sz val="9"/>
        <rFont val="Arial"/>
        <family val="2"/>
      </rPr>
      <t xml:space="preserve"> - Contrato com vigência bimestral</t>
    </r>
  </si>
  <si>
    <r>
      <rPr>
        <b/>
        <sz val="9"/>
        <rFont val="Arial"/>
        <family val="2"/>
      </rPr>
      <t>f</t>
    </r>
    <r>
      <rPr>
        <sz val="9"/>
        <rFont val="Arial"/>
        <family val="2"/>
      </rPr>
      <t xml:space="preserve"> - Contrato com vigência de 30 meses</t>
    </r>
  </si>
  <si>
    <r>
      <rPr>
        <b/>
        <sz val="9"/>
        <rFont val="Arial"/>
        <family val="2"/>
      </rPr>
      <t>g</t>
    </r>
    <r>
      <rPr>
        <sz val="9"/>
        <rFont val="Arial"/>
        <family val="2"/>
      </rPr>
      <t xml:space="preserve"> - Contrato com vigência de 30 dias</t>
    </r>
  </si>
  <si>
    <r>
      <rPr>
        <b/>
        <sz val="10"/>
        <rFont val="Arial"/>
        <family val="2"/>
      </rPr>
      <t>h</t>
    </r>
    <r>
      <rPr>
        <b/>
        <i/>
        <sz val="10"/>
        <rFont val="Arial"/>
        <family val="2"/>
      </rPr>
      <t xml:space="preserve"> - </t>
    </r>
    <r>
      <rPr>
        <sz val="10"/>
        <rFont val="Arial"/>
        <family val="2"/>
      </rPr>
      <t>Contrato com duração quimestral</t>
    </r>
  </si>
  <si>
    <r>
      <rPr>
        <b/>
        <sz val="9"/>
        <rFont val="Arial"/>
        <family val="2"/>
      </rPr>
      <t>CSM</t>
    </r>
    <r>
      <rPr>
        <sz val="9"/>
        <rFont val="Arial"/>
        <family val="2"/>
      </rPr>
      <t xml:space="preserve"> - Excesso de Consumo</t>
    </r>
  </si>
  <si>
    <r>
      <rPr>
        <b/>
        <sz val="9"/>
        <rFont val="Arial"/>
        <family val="2"/>
      </rPr>
      <t>CST</t>
    </r>
    <r>
      <rPr>
        <sz val="9"/>
        <rFont val="Arial"/>
        <family val="2"/>
      </rPr>
      <t xml:space="preserve"> - Consulta</t>
    </r>
  </si>
  <si>
    <r>
      <rPr>
        <b/>
        <sz val="9"/>
        <rFont val="Arial"/>
        <family val="2"/>
      </rPr>
      <t>NH</t>
    </r>
    <r>
      <rPr>
        <sz val="9"/>
        <rFont val="Arial"/>
        <family val="2"/>
      </rPr>
      <t xml:space="preserve"> - Não Há</t>
    </r>
  </si>
  <si>
    <r>
      <rPr>
        <b/>
        <sz val="10"/>
        <rFont val="Arial"/>
        <family val="2"/>
      </rPr>
      <t>1</t>
    </r>
    <r>
      <rPr>
        <sz val="10"/>
        <rFont val="Arial"/>
        <family val="2"/>
      </rPr>
      <t xml:space="preserve"> </t>
    </r>
    <r>
      <rPr>
        <sz val="8"/>
        <rFont val="Arial"/>
        <family val="2"/>
      </rPr>
      <t xml:space="preserve">- </t>
    </r>
    <r>
      <rPr>
        <sz val="10"/>
        <rFont val="Arial"/>
        <family val="2"/>
      </rPr>
      <t>ASPRE Sr. Luiz Lucas Alves</t>
    </r>
  </si>
  <si>
    <t>76.535.765/0328-51</t>
  </si>
  <si>
    <t>10.452.500/0001-18</t>
  </si>
  <si>
    <t>922/2012</t>
  </si>
  <si>
    <t>SERVICRED GO</t>
  </si>
  <si>
    <t>Concessão de empréstimos e financiamentos aos servidores da GOIÁSFOMENTO.</t>
  </si>
  <si>
    <t>Em vigor: Convênio/07/05/2012</t>
  </si>
  <si>
    <t>ver no jurídico</t>
  </si>
  <si>
    <t>965/2012</t>
  </si>
  <si>
    <t>SINDTAXI GOIÂNIA</t>
  </si>
  <si>
    <t>Acesso aos filiados ás linhas de crédito disponibilizadas a GOIÁSFOMENTO.</t>
  </si>
  <si>
    <t>Em vigor: Convênio/04/05/2012</t>
  </si>
  <si>
    <t>904/2012</t>
  </si>
  <si>
    <t>Licença de Uso de Software AKER SUBSCRIPTION MINIBOX 25 p/ acesso a internet.</t>
  </si>
  <si>
    <r>
      <rPr>
        <b/>
        <i/>
        <sz val="9"/>
        <rFont val="Arial"/>
        <family val="2"/>
      </rPr>
      <t>i -</t>
    </r>
    <r>
      <rPr>
        <sz val="9"/>
        <rFont val="Arial"/>
        <family val="2"/>
      </rPr>
      <t xml:space="preserve"> Contrato com vigência bienal</t>
    </r>
  </si>
  <si>
    <t>2.086,00 i</t>
  </si>
  <si>
    <t>Em vigor: Contrato Original/28/05/2012</t>
  </si>
  <si>
    <t>474/2012</t>
  </si>
  <si>
    <t>Poli Soluções Ltda</t>
  </si>
  <si>
    <t xml:space="preserve">Impressão de carta de cobrança aos emitentes e avalistas c/ inadimplencia na GOIÁSFOMENTO </t>
  </si>
  <si>
    <t>Em Vigor: 3º Termo Aditivo/09-05-2012</t>
  </si>
  <si>
    <t>2.277,48+CSM</t>
  </si>
  <si>
    <t>Em vigor: 4º Termo Aditivo/08-06-2012</t>
  </si>
  <si>
    <t>Em vigor: 3º Termo Aditivo/05-06-2012</t>
  </si>
  <si>
    <t>7.559,40+CSM</t>
  </si>
  <si>
    <t>Em Vigor:3º Termo Aditivo/01-06-2012</t>
  </si>
  <si>
    <t>Em vigor: 5º Termo Aditivo/11-06-2012</t>
  </si>
  <si>
    <t>Aures Rosa Advocacia Empresarial S/S</t>
  </si>
  <si>
    <t>Prestação de serviços advocatícios de naruteza contenciosa, para recuperação de créditos e bens de honorários/notas da GoiásFomento</t>
  </si>
  <si>
    <t>Em vigor: Contrato Original/01/06/2012</t>
  </si>
  <si>
    <t>Carraro Advogados Associados S/S</t>
  </si>
  <si>
    <t>Campos e Valtuille Advogados Associados S/S</t>
  </si>
  <si>
    <t>Dourado Advogados Associados S/S</t>
  </si>
  <si>
    <t>Edson Barcellos Sociedade de Advogados</t>
  </si>
  <si>
    <t>Jairo Faleiro da Silva Advogados Associados S/S</t>
  </si>
  <si>
    <t>Fonseca, Mauro, Monteiro e Advogados Associados S/S</t>
  </si>
  <si>
    <t>João Pessoa Advogados Associados S/S</t>
  </si>
  <si>
    <t>Queiroz, Vilaço e Oliveira Advogados Associados S/S</t>
  </si>
  <si>
    <t>Rahif &amp; Moura Advogados Associados S/O</t>
  </si>
  <si>
    <t xml:space="preserve">Coelho &amp; Carvalho Advogados Associados </t>
  </si>
  <si>
    <t>679/2012</t>
  </si>
  <si>
    <t>ASMETRO - Assessoria em Segurança e Medicina do Trabalho LTDA-ME</t>
  </si>
  <si>
    <t>Prestação de serviços especializados de consultoria em medicina e segurança do trabalho</t>
  </si>
  <si>
    <t>Em vigor: Contrato Original/22/06/2012</t>
  </si>
  <si>
    <t>030/2012</t>
  </si>
  <si>
    <t>1585/2012</t>
  </si>
  <si>
    <t>1233/2012</t>
  </si>
  <si>
    <t>Em vigor: 4º Termo Aditivo/10-10-2012</t>
  </si>
  <si>
    <t>Global Village Telecom LTDA.</t>
  </si>
  <si>
    <t>Em vigor: Contrato Original/23/08/2012</t>
  </si>
  <si>
    <t>Ilion Soluções em Internet LTDA-ME</t>
  </si>
  <si>
    <t>Prestação de serviços de construção de site para a GoiásFomento</t>
  </si>
  <si>
    <t>Em vigor: Contrato Original/09/08/2012</t>
  </si>
  <si>
    <t>Associação Goiana de Supermercados - Agos</t>
  </si>
  <si>
    <t>Locação de estande no Centro de Convenções de Goiânia, para o evento  da SUPERAGOS 2012</t>
  </si>
  <si>
    <t>Em vigor: Contrato Original/27/08/2012</t>
  </si>
  <si>
    <t>19/09/2012 - 21/09/2012</t>
  </si>
  <si>
    <t>Souza Secron Advogados Associados</t>
  </si>
  <si>
    <t>Prestação de serviços para prover conexão à internet da GoiásFomento</t>
  </si>
  <si>
    <t>Prestação de Serviços advocatícios de naruteza contenciosa, para recuperação de créditos e bens de honorários/notas da GoiásFomento</t>
  </si>
  <si>
    <t>Em Vigor: Contrato Original/09/08/2012</t>
  </si>
  <si>
    <t xml:space="preserve">ver no juridico </t>
  </si>
  <si>
    <t>1479/2012</t>
  </si>
  <si>
    <t>Aline Santos &amp; Arquitetos Associados S/S LTDA.</t>
  </si>
  <si>
    <t>Prestação de serviços para elaboração de projeto arquitetônico de estruturação de imóvel pertencente à GoiásFomento S/A</t>
  </si>
  <si>
    <t>Em Vigor: Contrato Original/03/09/2012</t>
  </si>
  <si>
    <t>Em vigor: 3º Termo Aditivo/17/09//2012</t>
  </si>
  <si>
    <t>Em vigor: 1º Termo Aditivo/01-03-2012</t>
  </si>
  <si>
    <t>002/2012</t>
  </si>
  <si>
    <t>958/2012</t>
  </si>
  <si>
    <t>51490/2012</t>
  </si>
  <si>
    <t>Em vigor: Contrato Original/22/10/12</t>
  </si>
  <si>
    <t>1016/2012</t>
  </si>
  <si>
    <t>Saneamento de Goiás S/A</t>
  </si>
  <si>
    <t>Prestação de serviços de água tratada e coleta/afastamento de esgoto sanitário de prédios da GoiásFomento A/A.</t>
  </si>
  <si>
    <t>Em vigor: Contrato Original/04/10/2012</t>
  </si>
  <si>
    <t>872/2012</t>
  </si>
  <si>
    <t>Brava Comercial LTDA-ME</t>
  </si>
  <si>
    <t>Fornecimento de 24 caixas com 3.000 folhas cada, de formulário contínuo para uso da GoiásFomento S/A</t>
  </si>
  <si>
    <t>Em vigor: Contrato Original/11/10/2012</t>
  </si>
  <si>
    <t xml:space="preserve"> 872/2012</t>
  </si>
  <si>
    <t>Papelaria Tributária LTDA</t>
  </si>
  <si>
    <t xml:space="preserve">Fornecimento de 180 caixas com 10 resmas cada, de papel reprográfico A4, para uso da GoiásFomento S/A </t>
  </si>
  <si>
    <t>Prestação de serviços de vigilância e segurança armada</t>
  </si>
  <si>
    <t>1939/2012</t>
  </si>
  <si>
    <t>Directa comércio, serviços e soluções LTDA</t>
  </si>
  <si>
    <t>Locação de 01 (uma) máguina fotocipiadora multifuncional com franquia mensal de 10.000 cópias, para uso da GoiásFomento</t>
  </si>
  <si>
    <t>Em vigor: Contrato Original/22/10/2012</t>
  </si>
  <si>
    <t>0386/2012</t>
  </si>
  <si>
    <t>EMBRATEC - Empresa Brasileira de Tecnologia e Administração de Convênio HOM LTDA</t>
  </si>
  <si>
    <t>Prestação de serviços de gerenciamento eletrônico e controle de abstecimento de combustíveis da frota de veículos da GoiásFomento.</t>
  </si>
  <si>
    <t>Em vigor: Contrato Original/30/10/2012</t>
  </si>
  <si>
    <t>Em vigor: 8º Termo Aditivo/15-10-2012</t>
  </si>
  <si>
    <t>Prestação de serviços de monitoramento eletrônico com apoio tático em prédios de propriedades da GoiásFomento</t>
  </si>
  <si>
    <t>Em vigor: 3º Termo Aditivo/22-10-2012</t>
  </si>
  <si>
    <t>Martinez &amp; Martinez Advogados Associados</t>
  </si>
  <si>
    <t>Prestação de serviços advocatícios de naruteza contenciosa, para recuperação de créditos e bens de honorários/notas constante no contrato</t>
  </si>
  <si>
    <t>Em vigor: Cotnrato Original/15/10/2012</t>
  </si>
  <si>
    <t>Em Vigor: 2º Termo Aditivo/12/12/2012</t>
  </si>
  <si>
    <t>32,667,92</t>
  </si>
  <si>
    <t>2095/2012</t>
  </si>
  <si>
    <t>Assinatura de Boletim de Licitações e Contratos - BLC</t>
  </si>
  <si>
    <t>Em vigor: Contrato Original/09/011/2012</t>
  </si>
  <si>
    <t>Prestação de serviços de acesso ao Sistema de Informações do Banco Central do Brasil - Sisbacen</t>
  </si>
  <si>
    <t>Em vigor: Contrao Original/22/10/2012</t>
  </si>
  <si>
    <t>IPASGO</t>
  </si>
  <si>
    <t>Permissão de inscrição e admissão aos empregados da GoiásFomento, como usuários do Sistema Ipasgo Saúde.</t>
  </si>
  <si>
    <t>Em Vigor: Contrato Original /16/08/2012</t>
  </si>
  <si>
    <t>1986/2012</t>
  </si>
  <si>
    <t xml:space="preserve">Espaço Equatore LTDA-ME </t>
  </si>
  <si>
    <t>Prestação de serviços de locação e espaço físico e fornecimento de buffet para compraternização natalina do pessoal da Goiásfomento</t>
  </si>
  <si>
    <t>Em Vigor: Contrato Original/08/11/2012</t>
  </si>
  <si>
    <t>2326/2012</t>
  </si>
  <si>
    <t>Fornecimento de garrafões de água mineral para a GoiásFomento S/A</t>
  </si>
  <si>
    <t>Em vigor: Contrato Original/02/01/2013</t>
  </si>
  <si>
    <t>1780/2012</t>
  </si>
  <si>
    <t>Pacto Soluções Tecnológicas LTDA-ME</t>
  </si>
  <si>
    <t>Fornecimento, instalação e manutenção de ponto eletrônico na GoiásFomento S/A.</t>
  </si>
  <si>
    <t>Em Vigor: Contrato Original/28/01/2013</t>
  </si>
  <si>
    <t>1987/2012</t>
  </si>
  <si>
    <t>Hábil Construtora e Incorporadora LTDA - EPP</t>
  </si>
  <si>
    <t>Prestação de serviços de construção de estacionamento para abrigar a frota de veículos da GoiásFomento S/A</t>
  </si>
  <si>
    <t>Em vigor: 3º Termo Aditivo/02/01/2013</t>
  </si>
  <si>
    <t>Auditoria Independente para Apresentação do Relatório de Revisão das  Demonstrações Contábeis e Controles Internos - Emissão de Parecer.</t>
  </si>
  <si>
    <t>Prestação de serviços de fornecimento de recortes de publicações judiciais em forma de carta impressa para a GoiásFomento.</t>
  </si>
  <si>
    <t>Em vigor: 2º Termo Aditivo/06-02-2013</t>
  </si>
  <si>
    <t>Em vigor: 1º Termo Aditivo/15-02/2013</t>
  </si>
  <si>
    <t>Prestação de serviços de rastreamento da frota de veículos da GoiásFomento.</t>
  </si>
  <si>
    <t>Em vigor: 1º Termo Aditivo/25-02-2013</t>
  </si>
  <si>
    <t>1837/2012</t>
  </si>
  <si>
    <t>Prestação de serviços para elaboração de estudos para implantação do Plano de Cargos e Salários na GoiásFomento S/A</t>
  </si>
  <si>
    <t>e</t>
  </si>
  <si>
    <t>0318/2013</t>
  </si>
  <si>
    <t>Santo Antônio Comércio de Movéis LTDA-ME</t>
  </si>
  <si>
    <t>Fornecimento de mobiliário para a GoiásFomento</t>
  </si>
  <si>
    <t>Em Vigor: 1º Termo Aditivo/19-02-2013</t>
  </si>
  <si>
    <t>Em vigor: Contrato Original/27-02-2013</t>
  </si>
  <si>
    <t>0339/2013</t>
  </si>
  <si>
    <t>Uniplacas Comércio de Divisórias e Forros LTDA.</t>
  </si>
  <si>
    <t>Fornecimento e instalação de divisórias e armários na GoiásFomento</t>
  </si>
  <si>
    <t>Em vigor: Contrato Original/28-02-2013</t>
  </si>
  <si>
    <t>0131/2013</t>
  </si>
  <si>
    <t>LocaWeb IDC LTDA</t>
  </si>
  <si>
    <t>Prestação de serviços de hospedagem de website da GoiásFomento</t>
  </si>
  <si>
    <t>Em Vigor: Contrato Original/22-02-2013</t>
  </si>
  <si>
    <t>Em vigor: 16º Termo Aditivo/20-03-2013</t>
  </si>
  <si>
    <t>Em vigor: 4º Termo Aditivo/15-03-2013</t>
  </si>
  <si>
    <t>Em vigor: 2º Termo Aditivo/12-02-2014</t>
  </si>
  <si>
    <t>123957,79 + 21.891,49</t>
  </si>
  <si>
    <t>Em Vigor: 1ºTermo Aditivo/21-03-2013</t>
  </si>
  <si>
    <t>Prestação de erviços para disponibilização de mão-de-obra de estudantes de nível médio e superior, através do programa de estágio.</t>
  </si>
  <si>
    <t>Em vigor: 1º Termo Aditivo/26-04-2013</t>
  </si>
  <si>
    <t>Prestação de serviços para manutenção de rotinas informatizadas em operação na GoiásFomento.</t>
  </si>
  <si>
    <t>Em vigor: 3º Termo Aditivo/02-05-2013</t>
  </si>
  <si>
    <t>Em vigor: 4º Termo Aditivo/19-04-2013</t>
  </si>
  <si>
    <t>246/2013</t>
  </si>
  <si>
    <t>Michal Gartenkraut</t>
  </si>
  <si>
    <t>Prestação de serviços de consultoria para a GoiásFomento S/A</t>
  </si>
  <si>
    <t>Em Vigor:Contrato Original/15-04-2013</t>
  </si>
  <si>
    <t>0593/2013</t>
  </si>
  <si>
    <t xml:space="preserve">Prestação de serviços de manutenção em redes de enerfia elétrica, lógica, telefônica, hidro-santária e ar condicionado, localizados no prédio da GoiásFomento. </t>
  </si>
  <si>
    <t>Em vigor: Contrato Original/12-04-2013</t>
  </si>
  <si>
    <t>2413/2012</t>
  </si>
  <si>
    <t>Prestação de serviços de suporte técnico e manutenção de licenças de uso de produtos de informática "Softwares"</t>
  </si>
  <si>
    <t>Em vigor: Contrato Original/08-03-2013</t>
  </si>
  <si>
    <t>Em vigor: 1ºTermo Aditivo/17-05-2013</t>
  </si>
  <si>
    <t>Prestação de serviço de administração de cartões auxilio alimentação</t>
  </si>
  <si>
    <t>TOTAL PG EM 2013</t>
  </si>
  <si>
    <t>Em vigor: 1ºTermo Aditivo/27/05/2013</t>
  </si>
  <si>
    <t>Em vigor: 5º Termo Aditivo/02-07-2013</t>
  </si>
  <si>
    <t>Em vigor: 1ºTermo Aditivo/15/07/2013</t>
  </si>
  <si>
    <t>1115/2009/2013</t>
  </si>
  <si>
    <t>Em vigor: 9º Termo Aditivo/02-08-2013</t>
  </si>
  <si>
    <t>Terrana Engenharia Ltda-ME</t>
  </si>
  <si>
    <t>Prestação de serviços para substituição da calçada da Sede administrativa da Agencia de Fomento de Goiás S/A</t>
  </si>
  <si>
    <t>Em vigor: Contrato Original/05-07-2013</t>
  </si>
  <si>
    <t>Em vigor: Contrato Original/31-07-2013</t>
  </si>
  <si>
    <t>Em vigor: Contrato Original/01-08-2013</t>
  </si>
  <si>
    <t>M&amp;T Montagens técnicas e telefonia. Ltda-Me</t>
  </si>
  <si>
    <t>Prestação de serviços de manutenção preventiva e corretiva de Central Telefônica da GoiásFomento</t>
  </si>
  <si>
    <t>2013.12.000693</t>
  </si>
  <si>
    <t>Oi S/A</t>
  </si>
  <si>
    <t>Prestação de serviços de telecomunicações para tráfego de voz</t>
  </si>
  <si>
    <t>Masters Auditores Independentes S/S</t>
  </si>
  <si>
    <t>Prestação de serviços de elaboração de estudo de Crédito Tributário referente ao balanço do 1º Semestre/2013 da GoiásFomento</t>
  </si>
  <si>
    <t>2013.12.000166</t>
  </si>
  <si>
    <t>SERASA S/A</t>
  </si>
  <si>
    <t>Prestação de serviços de acesso ao bando de dados Concentre/CreditBureau/Collection, Bureau/Relato/Credit, Rating/Gerencie/Carteira/Credit Riskscoring e Alertscoring</t>
  </si>
  <si>
    <t>Em vigor: Contrato Original/05-08-2013</t>
  </si>
  <si>
    <t>Em vigor: Contrato Original/15-08-2013</t>
  </si>
  <si>
    <t>Em vigor: Contrato Original/29-08-2013</t>
  </si>
  <si>
    <t>1909/2012</t>
  </si>
  <si>
    <t>Top Comércio e Serviços Empresariais</t>
  </si>
  <si>
    <t>Prestação de serviços de confecção e fornecimento de impressos para a GoiásFomento</t>
  </si>
  <si>
    <t>Weila Fernandes Rosa</t>
  </si>
  <si>
    <t>Prestação de serviços para divulgação das novas taxas de juros das linhas de crédito da GoiásFomento.</t>
  </si>
  <si>
    <t>N.V.A. Representações e Participações LTDA</t>
  </si>
  <si>
    <t>Aquisição de Licenciamento de uso de Software e respectiva prestação de serviços de instalação e manutenção</t>
  </si>
  <si>
    <t>Em vigor: 1ºTermo Aditivo/17/08/2013</t>
  </si>
  <si>
    <t>Mapfre Seguros Gerais S/A</t>
  </si>
  <si>
    <t>Seguro da frota de veículos da Agência de Fomento de Goiás S/A</t>
  </si>
  <si>
    <t>Em vigor: Contrato Original/26-08-2013</t>
  </si>
  <si>
    <t>632/2013</t>
  </si>
  <si>
    <t>003/2013</t>
  </si>
  <si>
    <t>Pregão eletrônico</t>
  </si>
  <si>
    <t>Garra Forte Empresa de Segurança Ltda - EPP</t>
  </si>
  <si>
    <t>Prestação de serviços de vigilância e segurança armada.</t>
  </si>
  <si>
    <t>Em vigor: contrato original/02/09/2013</t>
  </si>
  <si>
    <t>787/2013</t>
  </si>
  <si>
    <t>COJUR</t>
  </si>
  <si>
    <t>CONTRATOS JÁ ENVIADOS CI PARA RENOVAÇÃO</t>
  </si>
  <si>
    <t>Eliane Platon Azevedo, Ana Maria Morais e Advogados Associados S/S</t>
  </si>
  <si>
    <t>Em vigor: 1ºTermo Aditivo/04/09/2013</t>
  </si>
  <si>
    <t>Em vigor: 1ºTermo Aditivo/24/09/2013</t>
  </si>
  <si>
    <t>VALORES PAGOS NO EXERCÍCIO 2013</t>
  </si>
  <si>
    <t>05.980.352/0001-74</t>
  </si>
  <si>
    <t>Pregão eletrônico 03/2013</t>
  </si>
  <si>
    <t>Credenciamento 001/2010</t>
  </si>
  <si>
    <t>42.221,25+6.588,59</t>
  </si>
  <si>
    <t>33.612.425/0001-00</t>
  </si>
  <si>
    <t>05.097.205/0001-50</t>
  </si>
  <si>
    <t>4274/2013</t>
  </si>
  <si>
    <t>00.558.913/0001-28</t>
  </si>
  <si>
    <t>002/2013</t>
  </si>
  <si>
    <t>71.832.869/0001-40</t>
  </si>
  <si>
    <t>4275/2013</t>
  </si>
  <si>
    <t>17.163.317/0001-41</t>
  </si>
  <si>
    <t>4255/2013</t>
  </si>
  <si>
    <t>07.525.311/0001-13</t>
  </si>
  <si>
    <t>001/2013</t>
  </si>
  <si>
    <t>693/2013</t>
  </si>
  <si>
    <t>006/2012</t>
  </si>
  <si>
    <t>03.621.370/0001-34</t>
  </si>
  <si>
    <t>3090/2013</t>
  </si>
  <si>
    <t>15.359.143/0001-61</t>
  </si>
  <si>
    <t>003/2012</t>
  </si>
  <si>
    <t>05.870.588/0001-58</t>
  </si>
  <si>
    <t>001/2012</t>
  </si>
  <si>
    <t>05.615.803/0001-74</t>
  </si>
  <si>
    <t>123.957,79 + 21.891,49</t>
  </si>
  <si>
    <t>318/2013</t>
  </si>
  <si>
    <t>06.049.630/0001-37</t>
  </si>
  <si>
    <t>339/2013</t>
  </si>
  <si>
    <t>14.147.203/0001-10</t>
  </si>
  <si>
    <t>Art. 25, Inciso I</t>
  </si>
  <si>
    <t>53.113.791/0012-85</t>
  </si>
  <si>
    <t>593/2013</t>
  </si>
  <si>
    <t xml:space="preserve">Prestação de serviços de manutenção em redes de energia elétrica, lógica, telefônica, hidro-santária e ar condicionado, localizados no prédio da GoiásFomento. </t>
  </si>
  <si>
    <t>Art. 25, Inc. II, §1º</t>
  </si>
  <si>
    <t>000.562.738-94</t>
  </si>
  <si>
    <t>943/2013</t>
  </si>
  <si>
    <t>Ronaldo da Silva Faria</t>
  </si>
  <si>
    <t>Fornecimento e instalação de sistema de motioramento - CFTV</t>
  </si>
  <si>
    <t>Em vigor: Contrato Original/09-05-2013</t>
  </si>
  <si>
    <t>479.792.751-87</t>
  </si>
  <si>
    <t>1041/2013</t>
  </si>
  <si>
    <t>Câmara de Dirigentes Lojistas de Goiânia - GO</t>
  </si>
  <si>
    <t>Informações cadastrais banco de dados SPC.</t>
  </si>
  <si>
    <t>Em vigor: Contrato Original/21-05-2013</t>
  </si>
  <si>
    <t>Art.24, Inciso  VIII</t>
  </si>
  <si>
    <t>Em vigor: 1º Termo Aditivo/30-03-2013</t>
  </si>
  <si>
    <t>Art.24, Inc. II, § Único</t>
  </si>
  <si>
    <t>AJESP</t>
  </si>
  <si>
    <t>COAAB</t>
  </si>
  <si>
    <t>Em vigor: 2º Termo Aditivo/04-03-2013</t>
  </si>
  <si>
    <t>Prestação de serviços para disponibilização de mão-de-obra de estudantes de nível médio e superior, através do programa de estágio.</t>
  </si>
  <si>
    <t>Em vigor: 10º Termo Aditivo/15-10-2012</t>
  </si>
  <si>
    <t>Art.24, Inciso II, § Único</t>
  </si>
  <si>
    <t>12.450.596/0001-00</t>
  </si>
  <si>
    <t>1971/2013</t>
  </si>
  <si>
    <t>Instalação de infraestrutura de sistema de prevenção de incêndio.</t>
  </si>
  <si>
    <t>Em vigor: Contrato Original/10/06/2013</t>
  </si>
  <si>
    <t>8.111,16+CSM</t>
  </si>
  <si>
    <t>Em Vigor:4º Termo Aditivo/01-06-2012</t>
  </si>
  <si>
    <t>Em vigor: 1ºTermo Aditivo/22/06/2013</t>
  </si>
  <si>
    <t>2.440,68+CSM</t>
  </si>
  <si>
    <t>Em vigor: 4º Termo Aditivo/05-06-2013</t>
  </si>
  <si>
    <t>04.453.164/0001-25</t>
  </si>
  <si>
    <t>01.141.810/0001-20</t>
  </si>
  <si>
    <t>01.154.219/0001-08</t>
  </si>
  <si>
    <t>01.237.762/0001-79</t>
  </si>
  <si>
    <t>05.638.983/0001-00</t>
  </si>
  <si>
    <t>03.003.913/0001-50</t>
  </si>
  <si>
    <t>04.228.959/0001-30</t>
  </si>
  <si>
    <t>01.141.812/0001-10</t>
  </si>
  <si>
    <t>37.822.764/0001-72</t>
  </si>
  <si>
    <t>08.829.604/0001-57</t>
  </si>
  <si>
    <t>Em Vigor: 4º Termo Aditivo/09-05-2012</t>
  </si>
  <si>
    <t>Art. 24, Inc. II, § Único.</t>
  </si>
  <si>
    <t>166/2013</t>
  </si>
  <si>
    <t>Art. 25, caput, Lei 8.666</t>
  </si>
  <si>
    <t>62.173.620/0001-80</t>
  </si>
  <si>
    <t>76.535.764/0001-43</t>
  </si>
  <si>
    <t>629/2009</t>
  </si>
  <si>
    <t>528/2013</t>
  </si>
  <si>
    <t>Instituto Euvaldo Lodi-IEL  GO</t>
  </si>
  <si>
    <t>Em vigor: Contrato Original/01/10/2013</t>
  </si>
  <si>
    <t>807/2012</t>
  </si>
  <si>
    <t>007/2012</t>
  </si>
  <si>
    <t>Biss Inn Hotéis e Empreendimentos Ltda - ME</t>
  </si>
  <si>
    <t>Em vigor: Contrato Original/23/07/2012</t>
  </si>
  <si>
    <t>08.081.378/0001-79</t>
  </si>
  <si>
    <t>4-9-1016211/2008 e 4-9-1315712/2010</t>
  </si>
  <si>
    <t>Acesso ao sistema de informações do Banco Central do Brasil - SISBACEN</t>
  </si>
  <si>
    <t>VENCIDO</t>
  </si>
  <si>
    <t>131/2013</t>
  </si>
  <si>
    <t>04.409.436/0001-90</t>
  </si>
  <si>
    <t>03.420.926/0001-24</t>
  </si>
  <si>
    <t>01.616.929/0001-02</t>
  </si>
  <si>
    <t>10.867.306/0001-01</t>
  </si>
  <si>
    <t>00.905.760/0004-90</t>
  </si>
  <si>
    <t>03.506.307/0001-57</t>
  </si>
  <si>
    <t>05.751.699/0001-45</t>
  </si>
  <si>
    <t>61.074.175/0001-38</t>
  </si>
  <si>
    <t>ENCERRADO</t>
  </si>
  <si>
    <t>ENCERRADO. Novo contrato (166/2013).</t>
  </si>
  <si>
    <t>Dispensado</t>
  </si>
  <si>
    <t>ENCERRADO CONFORME CI 551/2012 COORH</t>
  </si>
  <si>
    <t>Organização café da manhã, coffe break e coquetel em eventos.</t>
  </si>
  <si>
    <t>ENCERRADO. (Novo contrato 2326/2013)</t>
  </si>
  <si>
    <t>Encerrado conf CI 08/2013 CPL</t>
  </si>
  <si>
    <t>VERIFICAR PESSOALMENTE VALORES E NÚMERO DOS PROCESSOS</t>
  </si>
  <si>
    <t>CI  COSEP RECEBIDA EM 05/11/2013</t>
  </si>
  <si>
    <t>CI  SEGER RECEBIDA EM 04/11/2013</t>
  </si>
  <si>
    <t>Em vigor: 5º Termo Aditivo/08-06-2013</t>
  </si>
  <si>
    <t>3008/2013</t>
  </si>
  <si>
    <t>004/2013</t>
  </si>
  <si>
    <t>Em vigor: 1ºTermo Aditivo/04/10/2013</t>
  </si>
  <si>
    <t>7037/2013</t>
  </si>
  <si>
    <t>Porto Seguro</t>
  </si>
  <si>
    <t>Seguro predial do imóvel da GoiasFomento - Avenida Goiás nº 91 - Setor Central</t>
  </si>
  <si>
    <t>Apólice</t>
  </si>
  <si>
    <t>7036/2013</t>
  </si>
  <si>
    <t>Tókio Marine Seguradora</t>
  </si>
  <si>
    <t>Seguro predial do imóvel da GoiasFomento - Avenida Anhanguera nº 5311- Setor Central</t>
  </si>
  <si>
    <t>DATA DA ÚLTIMA CORRESP</t>
  </si>
  <si>
    <t>Em vigor: 3º Termo Aditivo/16/10/2013</t>
  </si>
  <si>
    <t>Saneamento de Goiás S/A - SANEAGO</t>
  </si>
  <si>
    <t>Em vigor: 1ºTermo Aditivo/15/10/2013</t>
  </si>
  <si>
    <t>Em vigor: 1ºTermo Aditivo/21/10/2013</t>
  </si>
  <si>
    <t>DIPON</t>
  </si>
  <si>
    <t>2278/2012</t>
  </si>
  <si>
    <t>Art. 24, inc. II, § Único</t>
  </si>
  <si>
    <t>Prestação de serviços de elaboração de estudo de Crédito Tributário referente ao balanço do 2º Semestre.</t>
  </si>
  <si>
    <t>Novo convênio em 14/11/13</t>
  </si>
  <si>
    <t>Em vigor: Contrato Original/20/12/2012</t>
  </si>
  <si>
    <t>CONVÊNIO</t>
  </si>
  <si>
    <t>Instituto de Assistência dos Servidores do Estado de Goiás - IPASGO</t>
  </si>
  <si>
    <t>Em Vigor: Contrato Original/14/11/2013</t>
  </si>
  <si>
    <t>Novo contrato em 22/11/13</t>
  </si>
  <si>
    <t>8777/2013</t>
  </si>
  <si>
    <t>4-9-1860998/2013 e 438/2008</t>
  </si>
  <si>
    <t>Assinatura anual do Boletim de Licitações e Contratos - BLC.</t>
  </si>
  <si>
    <t>Em Vigor: Contrato Original/22/11/2013</t>
  </si>
  <si>
    <t>7793/2013</t>
  </si>
  <si>
    <t>Locação de 15 impressoras laser e 08 impressoras laser mutifuncionais, com respectivo fornecimento de suprimento, exceto papel.</t>
  </si>
  <si>
    <t>Em Vigor: Contrato Original/04/11/2013</t>
  </si>
  <si>
    <t>1946/2013</t>
  </si>
  <si>
    <t>Art. 23, Inciso II, alínea a</t>
  </si>
  <si>
    <t>Berquó Brom Advogados Associados S/S</t>
  </si>
  <si>
    <t>Prestação de serviços de assessoria e consultoria jurídica de natureza trabalhista.</t>
  </si>
  <si>
    <t>7931/2013</t>
  </si>
  <si>
    <t>BRF S/A</t>
  </si>
  <si>
    <t>Aquisição de 340 kits de cestas natalinas para os funcionários da GoiásFomento.</t>
  </si>
  <si>
    <t>Em Vigor: Contrato Original/31/10/2013</t>
  </si>
  <si>
    <t>Em vigor: 4º Termo Aditivo/14/11/2013</t>
  </si>
  <si>
    <t>1115/2009 e 1599/2013</t>
  </si>
  <si>
    <t>Em vigor: 10º Termo Aditivo/14-11-2013</t>
  </si>
  <si>
    <t>ASCOM</t>
  </si>
  <si>
    <t>Em Vigor: Contrato Original/02/12/2013</t>
  </si>
  <si>
    <t>Em vigor: 1ºTermo Aditivo/18/10/2013</t>
  </si>
  <si>
    <t>1572/2012</t>
  </si>
  <si>
    <t>Art. 24, Inciso V.</t>
  </si>
  <si>
    <t>Prestação de serviços de custódia, movimentação e liquidação financeira das contas SELIC e CETIP.</t>
  </si>
  <si>
    <t>Em Vigor: Contrato Original/26/06/2013</t>
  </si>
  <si>
    <t>8549/2013</t>
  </si>
  <si>
    <t>Locação de espaço físico e prestação de serviços de buffet para a confraternização natalina do pessoal da GOIASFOMENTO S/A.</t>
  </si>
  <si>
    <t>Em Vigor: Contrato Original/04/12/2013</t>
  </si>
  <si>
    <t>9310/2013</t>
  </si>
  <si>
    <t>Buffet Imperial Ltda-EPP</t>
  </si>
  <si>
    <t>Renovação de 120 (cento e vinte) licenças antivirus para a GOIASFOMENTO.</t>
  </si>
  <si>
    <t>Em Vigor: Contrato Original/10/12/2013</t>
  </si>
  <si>
    <t>COOFI</t>
  </si>
  <si>
    <t>ND Editora e Publicidade Ltda ME</t>
  </si>
  <si>
    <t>Prestação de serviços de confecção e fornecimento de 15.000 informativos do jornal CRED PAI.</t>
  </si>
  <si>
    <t>Em Vigor: Contrato Original/21/01/2014</t>
  </si>
  <si>
    <t>9597/2013</t>
  </si>
  <si>
    <t>Serviços de Postagem e venda de produtos que atendam às necessidades da GoiásFomento.</t>
  </si>
  <si>
    <t>VALORES PAGOS NO EXERCÍCIO 2014</t>
  </si>
  <si>
    <t>TOTAL PG EM 2014</t>
  </si>
  <si>
    <t>Fornecimento, instalação e manutenção de ponto eletrônico na GoiásFomento S/A. (Termo aditivo: Prestação de serviços de manutenção de ponto eletrônico na GoiasFomento)</t>
  </si>
  <si>
    <t>20.000,00+5.827,08</t>
  </si>
  <si>
    <t>Em Vigor: 1ºTermo Aditivo/28-01-2014</t>
  </si>
  <si>
    <t>Em vigor: 4º Termo Aditivo/02/01/2014</t>
  </si>
  <si>
    <t>Prestação de serviços de elaboração de estudo do Crédito Tributário referente ao balanço do 2º semestre/2013 da GoiasFomento.</t>
  </si>
  <si>
    <t>Em Vigor: Contrato Original/28/01/2014</t>
  </si>
  <si>
    <t>D Chaves Auditores Associados S/S</t>
  </si>
  <si>
    <t>ENCERRADO CONFORME CI 077/2014 COORH</t>
  </si>
  <si>
    <t>Aker Consultoria e Informática Ltda</t>
  </si>
  <si>
    <t>Fornecimento à GoiasFomento do produto Aker Firewall Box Interprise 637 com respectiva assistência técnica.</t>
  </si>
  <si>
    <t>Em Vigor: Contrato Original/10/02/2014</t>
  </si>
  <si>
    <t xml:space="preserve">Assisfone Teleinformática Ltda - ME </t>
  </si>
  <si>
    <t>Fornecimento de 01 (uma) Central Telefônica Digital com garantia de 12 meses, à GoiasFomento.</t>
  </si>
  <si>
    <t>Em Vigor: Contrato Original/20/02/2014</t>
  </si>
  <si>
    <t>Dimas Martins Filho Advogados Associados S/S.</t>
  </si>
  <si>
    <t>Em Vigor: Contrato Original/18/02/2014</t>
  </si>
  <si>
    <t>Prestação de serviços de fornecimento e entrega parcelada de 1.800 garrafões de água mineral à GoiásFomento.</t>
  </si>
  <si>
    <t>Em vigor: Contrato Original/20/02/2014</t>
  </si>
  <si>
    <t>Prestação de Serviço Telefone Fixo Comutado - STFC</t>
  </si>
  <si>
    <t>Em vigor: 3º Termo Aditivo/13-02-2014</t>
  </si>
  <si>
    <t>Em vigor: 3º Termo Aditivo/01-03-2014</t>
  </si>
  <si>
    <t>Em vigor: 2º Termo Aditivo/24-02/2014</t>
  </si>
  <si>
    <r>
      <rPr>
        <b/>
        <sz val="10"/>
        <rFont val="Arial"/>
        <family val="2"/>
      </rPr>
      <t>PRAZO</t>
    </r>
    <r>
      <rPr>
        <sz val="10"/>
        <rFont val="Arial"/>
        <family val="2"/>
      </rPr>
      <t>: 02 MESES PARA RENOVAÇÃO - ADITIVO</t>
    </r>
  </si>
  <si>
    <r>
      <rPr>
        <b/>
        <sz val="10"/>
        <rFont val="Arial"/>
        <family val="2"/>
      </rPr>
      <t>PRAZO</t>
    </r>
    <r>
      <rPr>
        <sz val="10"/>
        <rFont val="Arial"/>
        <family val="2"/>
      </rPr>
      <t>: 04 MESES PARA NOVA CONTRATAÇÃO - VERIFICAR SE JÁ ESTÁ NO 5º ADITIVO.</t>
    </r>
  </si>
  <si>
    <t>Em vigor: Contrato Original/09/11/2012</t>
  </si>
  <si>
    <t>24/003/2014</t>
  </si>
  <si>
    <t>99.792,00*</t>
  </si>
  <si>
    <t>encerrado conforme CI 020/2014 COINF</t>
  </si>
  <si>
    <t>NOVO CONTRATO, conforme CI 020/2014 COINF</t>
  </si>
  <si>
    <t>Rahif &amp; Moura Advogados Associados S/C</t>
  </si>
  <si>
    <t>Em vigor: 1ºTermo Aditivo/12-04-2014</t>
  </si>
  <si>
    <t>Projeto Móveis para Escritório LTDA ME</t>
  </si>
  <si>
    <t>Fornecimento e montagem de armários para a GoiasFomento.</t>
  </si>
  <si>
    <t>Em Vigor: Contrato Original/12/03/2014</t>
  </si>
  <si>
    <t>R4 Produções Audiovisuais Ltda</t>
  </si>
  <si>
    <t xml:space="preserve">Prestação de serviços de assessoria jurídica para a GoiásFomento S/A. </t>
  </si>
  <si>
    <t>Prestação de serviços de produção e edição de um vídeo institucional para a GoiásFomento.</t>
  </si>
  <si>
    <t>Em Vigor: Contrato Original/13/03/2014</t>
  </si>
  <si>
    <t>Prestação de serviços de manutenção e monitoramento eletrônico do sistema de prevenção contra incêndio de prédios da GoiásFomento.</t>
  </si>
  <si>
    <t>Em Vigor: Contrato Original/31/03/2014</t>
  </si>
  <si>
    <t>Prestação de serviços para fornecimento de passagens aéreas e hospedagens em hotéis.</t>
  </si>
  <si>
    <t>Em Vigor: Contrato Original/28/03/2014</t>
  </si>
  <si>
    <t>Em vigor: 1ºTermo Aditivo/21/03/2014</t>
  </si>
  <si>
    <t>Contrato sem renovação.</t>
  </si>
  <si>
    <t>12.078,36+CSM</t>
  </si>
  <si>
    <t>Em vigor: 5º Termo Aditivo/16-04-2013</t>
  </si>
  <si>
    <t>Art.23, inc.II., alínea"a"</t>
  </si>
  <si>
    <t>Eduardo Vinícius Fleury Lôbo</t>
  </si>
  <si>
    <t>Prestação de serviços de leiloeiro.</t>
  </si>
  <si>
    <t>Em Vigor: Contrato Original/14/04/2014</t>
  </si>
  <si>
    <t>DISTRATO, CONFORME DO/GO 21.836 PÁG. 03.</t>
  </si>
  <si>
    <t>2014.12000903</t>
  </si>
  <si>
    <t>TBC Soluções em Gestão Ltda</t>
  </si>
  <si>
    <t>Fornecimento, instalação e capacitação de pessoal da GoiasFomento para uso do módulo Totvs E-Social.</t>
  </si>
  <si>
    <t>Prestação de Serviços advocatícios de natureza contenciosa, para recuperação de créditos e bens de honorários/notas da GoiásFomento</t>
  </si>
  <si>
    <t xml:space="preserve">Impressão de carta de cobrança aos emitentes e avalistas c/ inadimplência na GOIÁSFOMENTO </t>
  </si>
  <si>
    <t>Prestação de serviços advocatícios de natureza contenciosa, para recuperação de créditos e bens de honorários/notas da GoiásFomento</t>
  </si>
  <si>
    <t>Locação de 01 (uma) máquina fotocopiadora multifuncional com franquia mensal de 10.000 cópias, para uso da GoiásFomento</t>
  </si>
  <si>
    <t>Prestação de serviços de gerenciamento eletrônico e controle de abastecimento de combustíveis da frota de veículos da GoiásFomento.</t>
  </si>
  <si>
    <t>Prestação de serviços advocatícios de natureza contenciosa, para recuperação de créditos e bens de honorários/notas constante no contrato</t>
  </si>
  <si>
    <t>Em vigor: Contrato Original/15/10/2012</t>
  </si>
  <si>
    <t>Locação de 15 impressoras laser e 08 impressoras laser multifuncionais, com respectivo fornecimento de suprimento, exceto papel.</t>
  </si>
  <si>
    <t>Renovação de 120 (cento e vinte) licenças antivírus para a GOIASFOMENTO.</t>
  </si>
  <si>
    <t>Líder Tur Empreendimentos Turísticos e Promoções Ltda EPP</t>
  </si>
  <si>
    <t>Em Vigor: Contrato Original/15/05/2014</t>
  </si>
  <si>
    <t>2014.12001908</t>
  </si>
  <si>
    <t>Ymune Alergo Serviços Médicos Sociedade Simples EPP</t>
  </si>
  <si>
    <t>Fornecimento e aplicação de 150 doses de vacina contra Influenza (gripe) nos colaboradores da GoiasFomento.</t>
  </si>
  <si>
    <t>Em Vigor: Contrato Original/05/05/2014</t>
  </si>
  <si>
    <t>2014.12.002258</t>
  </si>
  <si>
    <t>2013.12.006795</t>
  </si>
  <si>
    <t>TOP Comércio e Serviços Empresariais Ltda-EPP</t>
  </si>
  <si>
    <t>Prestação de serviços para confecção de panfletos, faixas, fornecimento de troféu e locação de tendas.</t>
  </si>
  <si>
    <t>Em Vigor: Contrato Original/11/04/2014</t>
  </si>
  <si>
    <t>2014.12.002435</t>
  </si>
  <si>
    <t>Em Vigor: Contrato Original/05/06/2014</t>
  </si>
  <si>
    <t>2014.12001554</t>
  </si>
  <si>
    <t>Prestação de serviços para manutenção preventiva, corretiva e assistência técnica com fornecimento de peças, em 2 (dois) elevadores Instalados no Ed. Sede da GoiasFomento.</t>
  </si>
  <si>
    <t>Em Vigor: Contrato Original/21/06/2014</t>
  </si>
  <si>
    <t>2014.12002087</t>
  </si>
  <si>
    <t>Confidence Sistemas de Segurança Ltda - ME</t>
  </si>
  <si>
    <t>Em Vigor: Contrato Original/30/06/2014</t>
  </si>
  <si>
    <t>2014.120000662</t>
  </si>
  <si>
    <t>Locação de 15 impressoras laser e 10 copiadoras/impressoras já incluso o fornecimento de papel e suprimentos.</t>
  </si>
  <si>
    <t>2014.12.002434</t>
  </si>
  <si>
    <t>Prestação de serviços para confecção de panfletos.</t>
  </si>
  <si>
    <t>Em Vigor: Contrato Original/23/06/2014</t>
  </si>
  <si>
    <t>2014.12.002234</t>
  </si>
  <si>
    <t>Prestação de serviços de manutenção e suporte técnico do Web Site GoiásFomento (ILIONet).</t>
  </si>
  <si>
    <t>2.582,64+CSM</t>
  </si>
  <si>
    <t>Em vigor: 5º Termo Aditivo/12-06-2014</t>
  </si>
  <si>
    <t>Art. 57, Inciso II</t>
  </si>
  <si>
    <t>Prestação de serviços de distribuição de panfletos,confecção de faixas e banner.</t>
  </si>
  <si>
    <t>2014.12.003218</t>
  </si>
  <si>
    <t>Prestação de serviços para manutenção de uma central telefônica PABX instalada na GoiásFomento.</t>
  </si>
  <si>
    <t>Em Vigor: Contrato Original/17/07/2014</t>
  </si>
  <si>
    <t>2014.12.00695</t>
  </si>
  <si>
    <t>Vanderci Luis Yoshirraro Sakamoto - ME</t>
  </si>
  <si>
    <t>Prestação de serviços de adequação do projeto de prevenção e combate contra incêndio do ed. Sede da GoiásFomento.</t>
  </si>
  <si>
    <t>2014.12002830</t>
  </si>
  <si>
    <t>Prestação de serviços de elaboração de estudo do Crédito Tributário referente ao balanço do 1º semestre/2014 da GoiasFomento.</t>
  </si>
  <si>
    <t>Em Vigor: Contrato Original/28/07/2014</t>
  </si>
  <si>
    <t>30.912,30 * f</t>
  </si>
  <si>
    <t>VIVO S/A (TELEFÔNICA BRASIL S. A.)</t>
  </si>
  <si>
    <t>Multi Cópias Rio Bonito LTDA</t>
  </si>
  <si>
    <t>2013.12006764</t>
  </si>
  <si>
    <t>Fornecimento e administração de cartões eletrônicos para o benefício "auxílio alimentação" nas modalidades auxílio refeição e auxílio cesta alimentação.</t>
  </si>
  <si>
    <t>2014.12.003828</t>
  </si>
  <si>
    <t>Centauro Gráfica e Editora Ltda</t>
  </si>
  <si>
    <t>Prestação de serviços de impressão de cartas de cobrança para os emitentes e avalistas de operações com inadimplência na GoiásFomento.</t>
  </si>
  <si>
    <t>6.960,00*</t>
  </si>
  <si>
    <t>Em Vigor: Contrato Original/29/08/2014</t>
  </si>
  <si>
    <t>FAZER A CI. (CORRESPONDÊNCIA INTERNA)</t>
  </si>
  <si>
    <t>Em vigor: 4º Termo Aditivo/22/09/2014</t>
  </si>
  <si>
    <t>Seguro da frota de 11 veículos da Agência de Fomento de Goiás S/A</t>
  </si>
  <si>
    <t>Em vigor: 1º Termo Aditivo/01/09/2014</t>
  </si>
  <si>
    <t>2014.12.002076</t>
  </si>
  <si>
    <t>Art. 15, Inc. II, § 3°</t>
  </si>
  <si>
    <t>Machado &amp; Silva Ltda</t>
  </si>
  <si>
    <t>Aquisição de equipamentos de informática.</t>
  </si>
  <si>
    <t>Em Vigor: Contrato Original/06/10/2014</t>
  </si>
  <si>
    <t>2014.12.004407</t>
  </si>
  <si>
    <t xml:space="preserve">Art. 24, Inc. II, § Único </t>
  </si>
  <si>
    <t>Em Vigor: Contrato Original/17/10/2014</t>
  </si>
  <si>
    <t>2014.12.002759</t>
  </si>
  <si>
    <t>Companhia de Seguros Aliança do Brasil S.A</t>
  </si>
  <si>
    <t>Seguro de vida/acidente em grupo dos colaboradores da Agência de Fomento de Goiás S.A.</t>
  </si>
  <si>
    <t>Em Vigor: Contrato Original/01/10/2014</t>
  </si>
  <si>
    <t>2014.12.004194</t>
  </si>
  <si>
    <t>AJF Produtos Alimentícios Ltda-ME</t>
  </si>
  <si>
    <t>Fornecimento e organização de buffet (almoço, jantar, lanche, coquetel, café da manhã e happy hour) para eventos a serem realizados pela GoiásFomento.</t>
  </si>
  <si>
    <t>Em Vigor: Contrato Original/21/10/2014</t>
  </si>
  <si>
    <t>Art. 24, Inc. II, § Único</t>
  </si>
  <si>
    <t>Em vigor: 1° Termo Aditivo/01/10/2013</t>
  </si>
  <si>
    <t>Em Vigor: 1° Termo Aditivo/26/06/2013</t>
  </si>
  <si>
    <t>Em vigor: 2ºTermo Aditivo/04/10/2013</t>
  </si>
  <si>
    <t>Art. 57, Inc. II, Lei 8.666</t>
  </si>
  <si>
    <t>Em vigor: 2ºTermo Aditivo/30/10/2014</t>
  </si>
  <si>
    <t>2014.12.003649</t>
  </si>
  <si>
    <t>Lenovo Tecnologia (Brasil) Ltda</t>
  </si>
  <si>
    <t>Aquisição de 24 microcomputadores Lenovo Thinkcentre.</t>
  </si>
  <si>
    <t>Em Vigor: Contrato Original/18/11/2014</t>
  </si>
  <si>
    <t>2014.12.005170</t>
  </si>
  <si>
    <t xml:space="preserve">Prestação de serviços para confecção de folders, catálogos e banners. </t>
  </si>
  <si>
    <t>Em Vigor: Contrato Original/02/11/2014</t>
  </si>
  <si>
    <t>Aquisição e Licenciamento de uso de Software e respectiva prestação de serviços de instalação e manutenção.</t>
  </si>
  <si>
    <t>492.500,00 + 43.077,54</t>
  </si>
  <si>
    <t>Em vigor: 1º Termo Aditivo/13/11/2014</t>
  </si>
  <si>
    <t>Prorrogação ao convênio de adesão ao IPASGO Saúde com a finalidade de prestação assistêncial de serviços de assistência médica, ambulatorial, hospitalar, odontológica, fonaudiológica, fisioterapêutica, nutricional e psicológica.</t>
  </si>
  <si>
    <t>Em Vigor: 1º Termo Aditivo/14/11/2014</t>
  </si>
  <si>
    <t>Policard System e Serviços S A</t>
  </si>
  <si>
    <t>Aquisição de 152 cartões "cesta de natal".</t>
  </si>
  <si>
    <t>Em Vigor: Contrato Original/28/11/2014</t>
  </si>
  <si>
    <t>Prestação de serviços de monitoramento eletrônico.</t>
  </si>
  <si>
    <t>Em vigor: 5º Termo Aditivo/01/12/2014</t>
  </si>
  <si>
    <t>2014.12.004936</t>
  </si>
  <si>
    <t>Achei Automóveis Ltda</t>
  </si>
  <si>
    <t>Locação de 06 (seis) veículos automotores para uso da GoiásFomento.</t>
  </si>
  <si>
    <t>Em Vigor: Contrato Original/12/12/2014</t>
  </si>
  <si>
    <t>Qualitiloc Automóveis Ltda</t>
  </si>
  <si>
    <t>Locação de 04 (quatro) veículos automotores para uso da GoiásFomento.</t>
  </si>
  <si>
    <t>1.400.705,53*</t>
  </si>
  <si>
    <t>Em Vigor: 1º Termo Aditivo/15/09/2014</t>
  </si>
  <si>
    <t>2013.12.001946</t>
  </si>
  <si>
    <t>Em Vigor: 1º Termo Aditivo/02/12/2013</t>
  </si>
  <si>
    <t>2006.04.000908</t>
  </si>
  <si>
    <t>Oracle do Brasil Sistemas Ltda</t>
  </si>
  <si>
    <t>Prestação de serviços para mautenção do sistema gerenciador de banco de dados - SGBP da GoiasFomento.</t>
  </si>
  <si>
    <t>Em Vigor: Contrato Original/24/11/2014</t>
  </si>
  <si>
    <t>2014.12.005680</t>
  </si>
  <si>
    <t>Flexibase Indústria e Comércio de Móveis, Importação e Exportação Ltda</t>
  </si>
  <si>
    <t>Fornecimento de 24 (vine quatro) cadeiras giratórias com 05 anos de garantia, para uso da GoiásFomento.</t>
  </si>
  <si>
    <t>Em Vigor: Contrato Original/15/01/2015</t>
  </si>
  <si>
    <t>Em vigor: 3º Termo Aditivo/20/02/2015</t>
  </si>
  <si>
    <t>Em vigor: 4º Termo Aditivo/01-03-2015</t>
  </si>
  <si>
    <t>2014.12.005679</t>
  </si>
  <si>
    <t>Aquisição com garantia de 36 meses de 3 (três) licenças de uso do Windows Server 2012 e 60 (sessenta) licenças de uso de CAL Windows.</t>
  </si>
  <si>
    <t>Em Vigor: Contrato Original/27/02/2015</t>
  </si>
  <si>
    <t>Brasoftware Informática Ltda</t>
  </si>
  <si>
    <t>Supera Soluções Integradas Ltda ME</t>
  </si>
  <si>
    <t xml:space="preserve">Fornecimento de 150 (cento e cinquenta) licenças de uso do Office 365. </t>
  </si>
  <si>
    <t>2015.12.000161</t>
  </si>
  <si>
    <t>Audimax Auditoria e Perícia S/S</t>
  </si>
  <si>
    <t>Prestação de serviços de elaboração de estudo do Crédito Tributário referente ao balanço do 2º semestre/2014 da GoiásFomento.</t>
  </si>
  <si>
    <t>Em Vigor: Contrato Original/11/03/2015</t>
  </si>
  <si>
    <t>Líder Tur Empreendimentos Turísticos e Promoções Ltda EPP (IVONE DE SOUSA ROSA EMPREENDIMENTOS TURÍSTICOS E PROMOÇÕES EIRELI-ME)</t>
  </si>
  <si>
    <t>Em Vigor: 1º Termo Aditivo/ 28/03/2015</t>
  </si>
  <si>
    <t>Prestação de serviços de manutenção em redes de energia elétrica, lógica, telefônica, hidro sanitária e ar condicionado da GoiásFomento.</t>
  </si>
  <si>
    <t>Em vigor: 2ºTermo Aditivo/12-04-2015</t>
  </si>
  <si>
    <t>Prestação de serviços de telecomunicações para tráfego de dados das aplicações corporativas, incluindo o tráfego de voz.</t>
  </si>
  <si>
    <t>Prestação de serviços de alarme contra incêndio, com monitoramento remoto em dois prédios da GoiásFomento.</t>
  </si>
  <si>
    <t>002/2014</t>
  </si>
  <si>
    <t>Ata de Reguistro de Preços 098/2013</t>
  </si>
  <si>
    <t>Pregão Eletrônico 050/2013</t>
  </si>
  <si>
    <t>Pregão Eletrônico 001/2014</t>
  </si>
  <si>
    <t>2014.12.004938</t>
  </si>
  <si>
    <t>Pregão Eletrônico 004/2014</t>
  </si>
  <si>
    <t>Ata de Reguistro de Preços 007/2014</t>
  </si>
  <si>
    <t>Pregão Presencial 005/2014/DGTI/CEPROMAT</t>
  </si>
  <si>
    <t>Pregão Eletrônico 003/2014</t>
  </si>
  <si>
    <t>Pregão Eletrônico 002/2014</t>
  </si>
  <si>
    <t>2014.12.000616</t>
  </si>
  <si>
    <t>2014.12.000870</t>
  </si>
  <si>
    <t>2014.12.000694</t>
  </si>
  <si>
    <t>2013.12.006289</t>
  </si>
  <si>
    <t>Pregão Eletrônico 005/2013</t>
  </si>
  <si>
    <t>2013.12.009736</t>
  </si>
  <si>
    <t>2014.12.000496</t>
  </si>
  <si>
    <t>2014.12.000727</t>
  </si>
  <si>
    <t>2014.12.000408</t>
  </si>
  <si>
    <t>2014.12.000008</t>
  </si>
  <si>
    <t>2013.12.009597</t>
  </si>
  <si>
    <t>4-9-1995690/2014</t>
  </si>
  <si>
    <t>Em vigor: 2ºTermo Aditivo/17/08/2012</t>
  </si>
  <si>
    <t>Em vigor: 1º Termo Aditivo/30/06/2014</t>
  </si>
  <si>
    <t>Em vigor: 1º Termo Aditivo/21-05-2013</t>
  </si>
  <si>
    <t>Em vigor: 5º Termo Aditivo/15-06-2009</t>
  </si>
  <si>
    <t>Em vigor: 2ºTermo Aditivo/12/05/2012</t>
  </si>
  <si>
    <t xml:space="preserve">TOTVS S.A </t>
  </si>
  <si>
    <t>Em Vigor: 6º Termo Aditivo/09-05-2012</t>
  </si>
  <si>
    <t>Em vigor: 1° Termo Aditivo/29-08-2014</t>
  </si>
  <si>
    <t xml:space="preserve">CONVEM - REFIN SERASA. </t>
  </si>
  <si>
    <t>2012.04.002413</t>
  </si>
  <si>
    <t>Em vigor: 2ºTermo Aditivo/28/03/2015</t>
  </si>
  <si>
    <t>001/2014</t>
  </si>
  <si>
    <t>001/20014</t>
  </si>
  <si>
    <t>Aquisição de equipamentos de informática. (A quisição de 06 desktop avançado marca HP 800 G1 c/ processador Intel Core I7).</t>
  </si>
  <si>
    <t>2014.12000870</t>
  </si>
  <si>
    <t>2013.12006289</t>
  </si>
  <si>
    <t>Em vigor: 2º Termo Aditivo/30/06/2014</t>
  </si>
  <si>
    <t>2015.12000897</t>
  </si>
  <si>
    <t>Art. 24, Inc. II, 1º</t>
  </si>
  <si>
    <t>Locação de uma máquina de café expresso mai 3(três) quilos de café por mês.</t>
  </si>
  <si>
    <t>Em Vigor: Contrato Original/19/06/2015</t>
  </si>
  <si>
    <t>2015.12001388</t>
  </si>
  <si>
    <t>Art. 24, inc. II, § 1º</t>
  </si>
  <si>
    <t>Fornecimento e aplicação de 150 doses da vacina conjugada contra gripe (H1N1+H3N2 e influenza B com uma cerpa trivalente)  para imunizar os colaboradores da GoiasFomento.</t>
  </si>
  <si>
    <t>Em Vigor: Contrato Original/14/05/2015</t>
  </si>
  <si>
    <t>2015.12000222</t>
  </si>
  <si>
    <t>Em Vigor: Contrato Original/23/01/2015</t>
  </si>
  <si>
    <t>Em Vigor: 1º Termo Aditivo/21/06/2015</t>
  </si>
  <si>
    <t>Em Vigor: 1º Termo Aditivo/ 15/04/2015</t>
  </si>
  <si>
    <t>Em Vigor: 1º Termo Aditivo/31/03/2015</t>
  </si>
  <si>
    <t>Em vigor: 5º Termo Aditivo/04/01/2015.</t>
  </si>
  <si>
    <t>2013.12000166</t>
  </si>
  <si>
    <t>2013.12001041</t>
  </si>
  <si>
    <t>2015.12000496</t>
  </si>
  <si>
    <t>Prestação de serviços de acesso a rede SISBACEN.</t>
  </si>
  <si>
    <t>Em Vigor: Contrato Original/23/04/2015</t>
  </si>
  <si>
    <t>Em Vigor: 1° Termo Aditivo/30/06/2015</t>
  </si>
  <si>
    <t>Em vigor: 3ºTermo Aditivo/20/07/2015</t>
  </si>
  <si>
    <t>Em Vigor: 3ºTermo Aditivo/27-07-2015</t>
  </si>
  <si>
    <t>2015.12.002590</t>
  </si>
  <si>
    <t>Art. 25, "Caput", Lei 8.666/93.</t>
  </si>
  <si>
    <t>Serviço Federal de Processamento de Dados (SERPRO)</t>
  </si>
  <si>
    <t>Prestação de serviços de processamento de dados para consulta à base de dados dos sitemas de Cadastro de Pessoas Físicas e do Cadastro Nacional de Pessoas Jurídicas, devidamente autorizada pela Secretaria da Receita Federal do Brasil.</t>
  </si>
  <si>
    <t>Em vigor: Contrato Original/21/09/2015</t>
  </si>
  <si>
    <t>2015.12.000495</t>
  </si>
  <si>
    <t>Pregão Eletrônico 002/2015</t>
  </si>
  <si>
    <t>Garantia Prestação de Serviços Ltda - ME</t>
  </si>
  <si>
    <t>Prestação de serviços de copeira, garçom, auxiliar de serviços gerais, recepcionista e encarregado de turma.</t>
  </si>
  <si>
    <t>2015.12.002030</t>
  </si>
  <si>
    <t>Safra Revista do Agronegócio Ltda - EPP</t>
  </si>
  <si>
    <t>Prestação de serviços de diagramação, edição e impressão de 3.000 exemplares do jornal "GoiásFomento".</t>
  </si>
  <si>
    <t>Em vigor: Contrato Original/03/08/2015</t>
  </si>
  <si>
    <t>Em vigor: Contrato Original/23/07/2015</t>
  </si>
  <si>
    <t>2015.12.001582</t>
  </si>
  <si>
    <t>Supera Soluções Integradas Ltda-ME</t>
  </si>
  <si>
    <t>Prestação de serviços para que servidor da GoiásFomento possa participar do curso "Formação Windows Server" no período de 31/08/2015 a 02/10/2015.</t>
  </si>
  <si>
    <t>Em Vigor: 1º Termo Aditivo/20/08/2015</t>
  </si>
  <si>
    <t>2015.12.001416</t>
  </si>
  <si>
    <t>Pregão Eletrônico 003/2015</t>
  </si>
  <si>
    <t>Ceres Inteligência Financeira Ltda-EPP</t>
  </si>
  <si>
    <t>Prestação de serviços de consultoria em análise de risco junto à GoiásFomento S/A.</t>
  </si>
  <si>
    <t>Em vigor: Contrato Original/29/09/2015</t>
  </si>
  <si>
    <t>Em vigor: Contrato Original/26/08/2015</t>
  </si>
  <si>
    <t>Em Vigor: 2° Termo Aditivo/26/06/2015</t>
  </si>
  <si>
    <t>2013.11.000528</t>
  </si>
  <si>
    <t>Em vigor: 2° Termo Aditivo/28/09/2015</t>
  </si>
  <si>
    <t>Encerrado conf. Inf. Coordenador na CI AUDI 067/2015</t>
  </si>
  <si>
    <t>2015.12.002253</t>
  </si>
  <si>
    <t>Edital de Credenciamento 001/2015</t>
  </si>
  <si>
    <t>Cooperativa de Crédito dos Empresários de Goiânia Ltda</t>
  </si>
  <si>
    <t>Câmara de Dirigentes Lojistas de Posse Ltda</t>
  </si>
  <si>
    <t>Associação Comercial e Industrial de Rio Verde - ACIRV</t>
  </si>
  <si>
    <t>Associação Comercial, Empresarial e Industrial de Valparaíso de Goiás - ACIVALGO</t>
  </si>
  <si>
    <t>Credênciamento de Correspondentes da Agência de Fomento de Goiás S/A.</t>
  </si>
  <si>
    <t>COESP</t>
  </si>
  <si>
    <t>Em vigor: Contrato Original/20/10/2015</t>
  </si>
  <si>
    <t>Em vigor: 3ºTermo Aditivo/02/10/2015</t>
  </si>
  <si>
    <t>VALORES PAGOS NO EXERCÍCIO 2015</t>
  </si>
  <si>
    <t>TOTAL PG EM 2015</t>
  </si>
  <si>
    <t>EMBRATEC - Empresa Brasileira de Tecnologia e Administração de Convênio HOM LTDA. (Empresa Brasileira de Tecnologia e Administração de Convênios HAAG S/A)</t>
  </si>
  <si>
    <t>RONAL</t>
  </si>
  <si>
    <t>2015.12.002322</t>
  </si>
  <si>
    <t>Pregão Eletrônico 006/2015</t>
  </si>
  <si>
    <t>Prestação de serviços de monitoramento eletrônico com apoio tático em três prédios da GoiásFomento.</t>
  </si>
  <si>
    <t>Em vigor: Contrato Original/30/11/2015</t>
  </si>
  <si>
    <t>2015.12.002678</t>
  </si>
  <si>
    <t>Art. 24, Inc. II, § 1º</t>
  </si>
  <si>
    <t>Em vigor: Contrato Original/16/11/2015</t>
  </si>
  <si>
    <t>2015.12.002444</t>
  </si>
  <si>
    <t>Ilion Soluções em Internet Ltda - ME</t>
  </si>
  <si>
    <t>Prestação de serviços para manutenção e suporte técnico do web site da GoiásFomento.</t>
  </si>
  <si>
    <t>Em vigor: 4º Termo Aditivo/13-02-2015</t>
  </si>
  <si>
    <t>Em vigor: 3ºTermo Aditivo/30/10/2015</t>
  </si>
  <si>
    <t>Em Vigor: 2º Termo Aditivo/15/11/2015</t>
  </si>
  <si>
    <t>Em Vigor: 2º Termo Aditivo/27/11/2015</t>
  </si>
  <si>
    <t>Em Vigor: 1º Termo Aditivo/09/10/2015</t>
  </si>
  <si>
    <t>Em vigor: 5º Termo Aditivo/20/11/2015</t>
  </si>
  <si>
    <t>COPON</t>
  </si>
  <si>
    <t>VALORES CONFIRMADOS NAS COORDENADORIAS</t>
  </si>
  <si>
    <t>DIROP</t>
  </si>
  <si>
    <t>Em vigor: 1º Termo Aditivo 30/11/2015</t>
  </si>
  <si>
    <t>Em Vigor: 3º Termo Aditivo/15/12/2015</t>
  </si>
  <si>
    <t>Em vigor: 2ºTermo Aditivo/30/12/2015</t>
  </si>
  <si>
    <t>2015.12.001736</t>
  </si>
  <si>
    <t>Pregão Eletrônico 005/2015</t>
  </si>
  <si>
    <t>Prestação de serviços de captura, processamento e gerenciamento de solução integrada de gestão de cartões magnéticos e transações financeiras por meios eletrônicos"Cartão Private Label).</t>
  </si>
  <si>
    <t>Em vigor: Contrato Original/30/12/2015</t>
  </si>
  <si>
    <t>COPOM</t>
  </si>
  <si>
    <t>Cooperativa de Crédito de Livre Admissão de Ceres e Rialma Ltda</t>
  </si>
  <si>
    <t>Credenciamento de Correspondentes da Agência de Fomento de Goiás S.A.</t>
  </si>
  <si>
    <t>Cooperativa de Crédito de Livre Admissão do Vale do Paranaíba Ltda</t>
  </si>
  <si>
    <t>Cooperativa de Crédito de Livre Admissão de Micro Regiões de Goiânia e Adjacentes Ltda</t>
  </si>
  <si>
    <t>Cooperativa de Crédito de Livre Admissão de Rubiataba e Região Ltda</t>
  </si>
  <si>
    <t>Cooperativa Central de Crédito de Goiás Ltda</t>
  </si>
  <si>
    <t xml:space="preserve">Cooperativa de Crédito de Livre Admissão das Microrregiões de Goiânia e Anápolis Ltda </t>
  </si>
  <si>
    <t>Cooperativa de Crédito de Livre Admissão de Anápolis e Região Ltda</t>
  </si>
  <si>
    <t>Cooperativa de Crédito de Livre Admissão da Cidade de Goiânia e Entorno Ltda</t>
  </si>
  <si>
    <t>Cooperativa de Crédito de Livre Admissão de Rio Verde e Região Ltda</t>
  </si>
  <si>
    <t>Cooperativa de Crédito de Livre Admissão de Palmeiras e Região Ltda</t>
  </si>
  <si>
    <t>Cooperativa de Crédito de Livre Admissão de Goiânia e Microrregiões Ltda</t>
  </si>
  <si>
    <t>Cooperativa de Crédito de Livre Admissão Centro Oeste Goiano Ltda</t>
  </si>
  <si>
    <t>Cooperativa de Crédito de Livre Admissão Centro Goiano Ltda</t>
  </si>
  <si>
    <t>Cooperativa de Crédito de Livre Admissão do Vale do Rio Crixás Ltda</t>
  </si>
  <si>
    <t>Cooperativa de Crédito de Livre Admissão do Centro Sul Goiano Ltda</t>
  </si>
  <si>
    <t>Associação Comercial e Industrial de Caçu - ACIC</t>
  </si>
  <si>
    <t>Associação Comercial e Industrial de Caldas Novas - ACICAN</t>
  </si>
  <si>
    <t>Associação Comercial e Industrial de Uruaçu - ACIAU</t>
  </si>
  <si>
    <t>Associação Comercial, Industrial e Agropecuária de Itauçu - ACIAI</t>
  </si>
  <si>
    <t>Associação Comercial e Industrial de Itumbiara</t>
  </si>
  <si>
    <t>Associação Comercial, Industrial e Agropecuária de Goiatuba - ACIAG</t>
  </si>
  <si>
    <t>Câmara de Dirigentes Logistas de Rubiataba - CDL</t>
  </si>
  <si>
    <t>Câmara de Dirigentes Logistas de Goiatuba - CDL</t>
  </si>
  <si>
    <t>Câmara de Dirigentes Lojistas de Mineiros</t>
  </si>
  <si>
    <t>Em vigor: Contrato Original/18/12/2015</t>
  </si>
  <si>
    <t>Em vigor: 2º Termo Aditivo/22/12/2015</t>
  </si>
  <si>
    <t>Associação Comercial e Industrial de Aparecida de Goiânia - ACIAG</t>
  </si>
  <si>
    <t>Associação Comercial, Industrial e de Serviços do Estado de Goiás - ACIEG</t>
  </si>
  <si>
    <t>Associação Comercial e Industrial de São Simão - ACISS</t>
  </si>
  <si>
    <t>Associação Comercial, Industrial e Agropecuária de Itaberaí - ACIAPI</t>
  </si>
  <si>
    <t>Associação Comercial e Industrial de Luziânia - ACIL</t>
  </si>
  <si>
    <t>Câmara de Dirigentes Logistas de Acreúna - CDL</t>
  </si>
  <si>
    <t>Câmara de Dirigentes Lojista de Bom Jesus - CDL</t>
  </si>
  <si>
    <t>Câmara de Dirigentes Lojistas de Goianira - CDL</t>
  </si>
  <si>
    <t>Câmara de Dirigentes Lojistas de Inhumas - CDL</t>
  </si>
  <si>
    <t>Cooperativa de Crédito de Livre Admissão de Goiânia e Região Ltda</t>
  </si>
  <si>
    <t>Cooperativa de Crédito dos Distribuidores e Atacadistas da Região Metropolitana de Goiânia Ltda</t>
  </si>
  <si>
    <t>VALORES PAGOS NO EXERCÍCIO 2016</t>
  </si>
  <si>
    <t>Locação de 03 (três) veículos automotores para uso da GoiásFomento.</t>
  </si>
  <si>
    <t>Em Vigor: 1º Termo Aditivo/12/12/2015</t>
  </si>
  <si>
    <t>Em vigor: 1º Termo Aditivo/27/08/2015</t>
  </si>
  <si>
    <t>2016.12.000017</t>
  </si>
  <si>
    <t>Art. 24, § 1º</t>
  </si>
  <si>
    <t>Janita Lídia da Fonseca Martins - ME</t>
  </si>
  <si>
    <t>Prestação de serviços de fornecimento e entrega parcelada de 1.992 garrafões de água mineral à GoiásFomento.</t>
  </si>
  <si>
    <t>Em vigor: Contrato Original/04/01/2016</t>
  </si>
  <si>
    <t>2015.12003153</t>
  </si>
  <si>
    <t>Art.24, Inciso VIII</t>
  </si>
  <si>
    <t>Contrato múltiplo de prestação de serviços de postagem de correspondências originadas na GoiásFomento.</t>
  </si>
  <si>
    <t>47.131,70*</t>
  </si>
  <si>
    <t>Em vigor: Contrato Original/05/01/2016</t>
  </si>
  <si>
    <t>Câmara de Dirigentes Lojistas de Iporá - CDL</t>
  </si>
  <si>
    <t>Em vigor: Contrato Original/28/12/2015</t>
  </si>
  <si>
    <t>Câmara de Dirigentes Logistas de Palmeiras de Goiás - CDL</t>
  </si>
  <si>
    <t>Associação Comercial e Industrial de Quirinópolis - ACIQ</t>
  </si>
  <si>
    <t>Associação Comercial, Industrial e Agropecuária de Porangatu - ACIAP</t>
  </si>
  <si>
    <t>Associação Comercial Agro Industrial de Cristalina - ACIAC</t>
  </si>
  <si>
    <t xml:space="preserve">Câmara dos Dirigentes Lojistas da Cidade de Goiás - CDL </t>
  </si>
  <si>
    <t>Em vigor: Contrato Original/17/03/2016</t>
  </si>
  <si>
    <t>2016.12.000268</t>
  </si>
  <si>
    <t>Pregão Eletrônico 001/2016</t>
  </si>
  <si>
    <t>Aquisição de 150 licenças de uso do Office 365 Enterprise E1 Per User Microsoft Cloud Subscription Service, com respectivas garantias.</t>
  </si>
  <si>
    <r>
      <rPr>
        <b/>
        <sz val="9"/>
        <rFont val="Arial"/>
        <family val="2"/>
      </rPr>
      <t xml:space="preserve">j </t>
    </r>
    <r>
      <rPr>
        <sz val="9"/>
        <rFont val="Arial"/>
        <family val="2"/>
      </rPr>
      <t>- Valor para um período de 12 meses</t>
    </r>
  </si>
  <si>
    <t>74.100,00 j</t>
  </si>
  <si>
    <t>Em vigor: Contrato Original/18/03/2016</t>
  </si>
  <si>
    <t>Prestação de serviços de consultoria em análise de risco junto à GoiásFomento S/A.(ADITIVO: Inclusão de "scores" específicos para as áreas de Crédito Automático, Profissional Liberal e Agronegócio, ao contrato primitivo.)</t>
  </si>
  <si>
    <t>Em vigor: 1º Termo Aditivo/31/03/2016</t>
  </si>
  <si>
    <t>Em Vigor: 2º Termo Aditivo/ 14/03/2016</t>
  </si>
  <si>
    <t>Em Vigor: 2º Termo Aditivo/28/03/2016</t>
  </si>
  <si>
    <t>Em vigor: 3ºTermo Aditivo/08/03/2016</t>
  </si>
  <si>
    <t>Cooperativa de Crédito dos Magistrados e Servidores da Justiça do Estado de Goiás e Empregados da CELG Ltda</t>
  </si>
  <si>
    <t>Em vigor: Contrato Original/25/04/2016</t>
  </si>
  <si>
    <t>Associação Comercial e Industrial de Santa Helena de Goiás ACISH</t>
  </si>
  <si>
    <t>Em Vigor: 2º Termo Aditivo/ 12/04/2016</t>
  </si>
  <si>
    <t>Em vigor: 5º Termo Aditivo/11/03/2016</t>
  </si>
  <si>
    <t>Em vigor: 1º Termo Aditivo/20/04/2016</t>
  </si>
  <si>
    <t>Cooperativa de Crédito de Livre Admissão de Piracanjuba Ltda</t>
  </si>
  <si>
    <t>Associação Comercial e Industrial de Niquelândia - ACIN</t>
  </si>
  <si>
    <t>Em vigor: Contrato Original/02/05/2016</t>
  </si>
  <si>
    <t>Em vigor: Contrato Original/04/05/2016</t>
  </si>
  <si>
    <t>Em vigor: Contrato Original/11/05/2016</t>
  </si>
  <si>
    <t>Em vigor: 3ºTermo Aditivo/12-04-2016</t>
  </si>
  <si>
    <t>Prestação de serviços de captura, processamento e gerenciamento de solução integrada de gestão de cartões magnéticos e transações financeiras por meios eletrônicos"Cartão Private Label). (1ºAditivo - tem como objetivo alterar a forma de reembolso às empresas da rede de fornecedores que passa a ser de responsabilidade da empresa Policard Systems e Serviços S/A.)</t>
  </si>
  <si>
    <t>Prestação de serviços especializados de consultoria em medicina e segurança do trabalho.</t>
  </si>
  <si>
    <t>Em vigor: 4ºTermo Aditivo/17/06/2016</t>
  </si>
  <si>
    <t>Em vigor: 1º Termo Aditivo/01/06/2016</t>
  </si>
  <si>
    <t>Em Vigor: 2º Termo Aditivo/17/06/2016</t>
  </si>
  <si>
    <t>Em Vigor: 3° Termo Aditivo/26/06/2016</t>
  </si>
  <si>
    <t>Prestação de Serviço Móvel Pessoal - SMP com fornecimento de aparelhos celulares e acesso à internet 3G.</t>
  </si>
  <si>
    <t>12.364,92 *j</t>
  </si>
  <si>
    <t>8.369,68*j</t>
  </si>
  <si>
    <t>123.523,5 f</t>
  </si>
  <si>
    <t>Em vigor: 3º Termo Aditivo/06/06/2016</t>
  </si>
  <si>
    <t>2015.12.000897</t>
  </si>
  <si>
    <t>Locação de uma máquina de café expresso para uso da cantina do 2º andar do Ed. Sede da GoiásFomento.</t>
  </si>
  <si>
    <t>Em Vigor: Contrato Original/29/06/2016</t>
  </si>
  <si>
    <t>Em Vigor: 2° Termo Aditivo/30/06/2016</t>
  </si>
  <si>
    <t>2016.12.001391</t>
  </si>
  <si>
    <t>Art. 24, II, § 1º</t>
  </si>
  <si>
    <t>NP Capacitação e Soluções Tecnológicas Ltda</t>
  </si>
  <si>
    <t>Em vigor: Contrato Original/29/06/2016</t>
  </si>
  <si>
    <t>2016.12.001429</t>
  </si>
  <si>
    <t>Speed Boy's Moto-taxi e Moto-boy Ltda - ME</t>
  </si>
  <si>
    <t>Prestação de serviços de motociclista/entregador que estarão à disposição da GoiásFomento para entrega de documentos, correspondências e malote.</t>
  </si>
  <si>
    <t>6.540,00*</t>
  </si>
  <si>
    <t>Em vigor: Contrato Original/18/07/2016</t>
  </si>
  <si>
    <t>2016.12.000669</t>
  </si>
  <si>
    <t>Edital de Credenciamento 002/2016</t>
  </si>
  <si>
    <t>Câmara de Dirigentes Lojistas de Goiânia - CDL</t>
  </si>
  <si>
    <t>206.877,29*</t>
  </si>
  <si>
    <t>Em vigor: Contrato Original/29/07/2016</t>
  </si>
  <si>
    <t>Em Vigor: 2º Termo Aditivo/17/07/2016</t>
  </si>
  <si>
    <t>Em Vigor: 4ºTermo Aditivo/28-07-2016</t>
  </si>
  <si>
    <t>CONTRATO ENCERRADO. NOVO CONTRATO ABAIXO</t>
  </si>
  <si>
    <t>Assinatura anual do produto Banco de Preços.</t>
  </si>
  <si>
    <t>Associação Comercial e Industrial de Catalão - ACIC</t>
  </si>
  <si>
    <t>Em vigor: Contrato Original/23/08/2016</t>
  </si>
  <si>
    <t>Em vigor: 2º Termo Aditivo/02/08/2016</t>
  </si>
  <si>
    <t>2016.12.000403</t>
  </si>
  <si>
    <t>Edital de Credenciamento 001/2016</t>
  </si>
  <si>
    <t>Ipê Consultoria e Projetos Agroindustriais Ltda</t>
  </si>
  <si>
    <t>Credenciamento de empresas de engenharia para prestação de serviços técnicos profissionais de avaliações.</t>
  </si>
  <si>
    <t>Cruz e Silva Arquitetura e Engenharia Ltda - ME</t>
  </si>
  <si>
    <t>Construpolo Engenharia Ltda - ME</t>
  </si>
  <si>
    <t>MCX Engenharia Ltda</t>
  </si>
  <si>
    <t>Cameron Engenharia e Consultoria Ltda - EPP</t>
  </si>
  <si>
    <t>Goiás Engenharia e Topografia Eireli - EPP</t>
  </si>
  <si>
    <t>Goiás Avaliações e Construções Ltda</t>
  </si>
  <si>
    <t>DGC Engenharia Ltda - ME</t>
  </si>
  <si>
    <t>Elza de Resende Mota Passos Eireli</t>
  </si>
  <si>
    <t>Agiliza Comércio Consultoria e Representações Ltda - ME</t>
  </si>
  <si>
    <t>ASENG - Engenharia e Construtora Ltda - ME</t>
  </si>
  <si>
    <t>Petra Assessoria e Projetos Ltda - ME</t>
  </si>
  <si>
    <t>TEC - Safra Consultoria Agronômica e Projetos Agropecuários Ltda - ME</t>
  </si>
  <si>
    <t>Credenciamento 001/2015</t>
  </si>
  <si>
    <t>Câmara de Dirigentes Lojistas de Bela Vista de Goiás - CDL</t>
  </si>
  <si>
    <t>Em vigor: 3º Termo Aditivo/01/09/2016</t>
  </si>
  <si>
    <t>201300005010570</t>
  </si>
  <si>
    <t>Convênio 02/2013</t>
  </si>
  <si>
    <t>Fundo de Financiamento do Banco do Povo do Estado de Goiás</t>
  </si>
  <si>
    <t>Intermediação financeira.</t>
  </si>
  <si>
    <t>Em vigor: 2° termo Aditivo/2014</t>
  </si>
  <si>
    <t>ASSAT</t>
  </si>
  <si>
    <t>Em vigor: 3ºTermo Aditivo/03/10/2016</t>
  </si>
  <si>
    <t>Em vigor: 3° Termo Aditivo/04/10/2016</t>
  </si>
  <si>
    <t>Em vigor: 4ºTermo Aditivo/03/10/2016</t>
  </si>
  <si>
    <t>Em Vigor: 2º Termo Aditivo/10/10/2016</t>
  </si>
  <si>
    <t>2016.12.002899</t>
  </si>
  <si>
    <t>Art. 24, §1º</t>
  </si>
  <si>
    <t>Goldem Produções e Eventos em Geral EIRELI - ME</t>
  </si>
  <si>
    <t>Prestação de serviços de fornecimento de bufett para a confraternização natalina do pessoa l da GoiásFomento S/A.</t>
  </si>
  <si>
    <t>Em vigor: Contrato Original/01/12/2016</t>
  </si>
  <si>
    <t>Em vigor: 1º Termo Aditivo/20/10/2016</t>
  </si>
  <si>
    <t>Em Vigor: 2º Termo Aditivo/30/11/2016</t>
  </si>
  <si>
    <t>Em vigor: 2º Termo Aditivo/07/12/2016</t>
  </si>
  <si>
    <t>Cooperativa de Crédito de Livre admissão do Vale do São Patrício Ltda</t>
  </si>
  <si>
    <t>Cooperativa de Crédito dos Empresários do SECOVI-GO e dos servidores públicos do estado de Goiás.</t>
  </si>
  <si>
    <t>Associação Comercial e Industrial de Ipameri.</t>
  </si>
  <si>
    <t>Associação Comercial e Industrial de Orizona.</t>
  </si>
  <si>
    <t>Associação Comercial e Industrial de Campinorte.</t>
  </si>
  <si>
    <t>Em vigor: Contrato Original/04/02/2016</t>
  </si>
  <si>
    <t>Em vigor: Contrato Original28/12/2015</t>
  </si>
  <si>
    <t>2015.12003012</t>
  </si>
  <si>
    <t>Tomada de preço 001/2015</t>
  </si>
  <si>
    <t>Masters Auditores independentes S/S</t>
  </si>
  <si>
    <t>Prestação de serviços de consultoria para fazer o novo estudo do Crédito Tributário para o balanço do 1º e 2º semestre de cada exercício da GoiásFomento.</t>
  </si>
  <si>
    <t>Em vigor: Contrato Original/17/02/2016</t>
  </si>
  <si>
    <t>Em vigor: 4º Termo Aditivo/11/02/2016</t>
  </si>
  <si>
    <t>Em vigor: 5º Termo Aditivo/04/01/2015</t>
  </si>
  <si>
    <t>Em vigor: 5º Termo Aditivo/26/02/2016</t>
  </si>
  <si>
    <t>Berquó Brom Advogados Associados S/S (Eny Curado Brom Advogados Associados S/S)</t>
  </si>
  <si>
    <t>Em Vigor: 3º Termo Aditivo/01/12/2016</t>
  </si>
  <si>
    <t>Em vigor: 1º Termo Aditivo/13/12/2016</t>
  </si>
  <si>
    <t>Em vigor: 1º Termo Aditivo/09/12/2016</t>
  </si>
  <si>
    <t>EMBRATEC - Empresa Brasileira de Tecnologia e Administração de Convênio HOM LTDA. (Empresa Brasileira de Tecnologia e Administração de Convênios HAAG S/A) (TICKET SOUÇÕES HDFGT S/A)</t>
  </si>
  <si>
    <t>Em vigor: 4ºTermo Aditivo/01/12/2016</t>
  </si>
  <si>
    <t>Em Vigor: 5º Termo Aditivo/15/12/2016</t>
  </si>
  <si>
    <t>Em vigor: 3º Termo Aditivo/13/12/2016</t>
  </si>
  <si>
    <t>2016.12.002117</t>
  </si>
  <si>
    <t>Poligráfica Indústria e Comércio Ltda.</t>
  </si>
  <si>
    <t>Prestação de serviços para fornecimento de material gráfico diverso, para atender necessidades da GoiásFomento (Lotes 03).</t>
  </si>
  <si>
    <t>Em vigor: Contrato Original/21/12/2016</t>
  </si>
  <si>
    <t>Registo de preço 003/2016, Pregão Eletrônico SRP 001/2016</t>
  </si>
  <si>
    <t>Gráfica e Editora Gráfica Sete EIRELI-EPP</t>
  </si>
  <si>
    <t>Prestação de serviços para fornecimento de materia gráfico diverso, para atender necessidades da GoiásFomento (Lotes 02 e 05)</t>
  </si>
  <si>
    <t>Prestação de serviços para fornecimento de materia gráfico diverso, para atender necessidades da GoiásFomento (Lote 01)</t>
  </si>
  <si>
    <t>Prestação de serviços de informações que subsidiarão a GoiásFomento nas decisões de créditos e de negócios (consultas), inclusão (negativação) e exclusão de registros de clientes, emitentes e avalistas em situação de inadimplência (PF e PJ).</t>
  </si>
  <si>
    <t>Locação de 01 (um) veículo automotor para uso da GoiásFomento.</t>
  </si>
  <si>
    <t>Associação Comercial e Industrial de São Miguel do Araguaia - ACIASMA.</t>
  </si>
  <si>
    <t>Em vigor: Contrato Original/01/02/2017</t>
  </si>
  <si>
    <t>CAPAC</t>
  </si>
  <si>
    <t>2016.12.002943</t>
  </si>
  <si>
    <t>Em vigor: Contrato Original/20/02/2017</t>
  </si>
  <si>
    <t>Em vigor: 5º Termo Aditivo/20/02/2017</t>
  </si>
  <si>
    <t>Em vigor: 1º Termo Aditivo/17/02/2017</t>
  </si>
  <si>
    <t>*</t>
  </si>
  <si>
    <t xml:space="preserve"> </t>
  </si>
  <si>
    <t>Não será renovado, conf. Despacho do diretor na CI COOBR 139/2017.</t>
  </si>
  <si>
    <t>CICOORH 195/2017</t>
  </si>
  <si>
    <t>Em Vigor: 3º Termo Aditivo/ 24/03/2017</t>
  </si>
  <si>
    <t>Em vigor: 6º Termo Aditivo/01/03/2017</t>
  </si>
  <si>
    <t>Em Vigor: 3º Termo Aditivo/29/03/2017</t>
  </si>
  <si>
    <t>Em vigor: 1º Termo Aditivo/02/03/2017</t>
  </si>
  <si>
    <t>POSSUI NOVO PROCESSO 2017.12.000266</t>
  </si>
  <si>
    <t>2017.12.000266</t>
  </si>
  <si>
    <t>Em vigor: Contrato Original/01/03/2017</t>
  </si>
  <si>
    <t>Aviso Urgente - Clipping e softwares Ltda-EPP</t>
  </si>
  <si>
    <t>2017.12.000269</t>
  </si>
  <si>
    <t>Pregão Eletrônico 001/2017</t>
  </si>
  <si>
    <t>M &amp; C Comércio de Móves Ltda ME.</t>
  </si>
  <si>
    <t>Fornecimento à GoiásFomento S/A de 01 sofá 2 lugares, 02 sofás 3 lugares e 08 poltronas com garantia de 12 meses.</t>
  </si>
  <si>
    <t>Em vigor: Contrato Original/31/03/2017</t>
  </si>
  <si>
    <t>2017.12.000414</t>
  </si>
  <si>
    <t>Art. 25, Inc. I</t>
  </si>
  <si>
    <t>Prestação de serviços de suporte técnico e manutenção de licenças de uso de produtos de informática "Softwares".</t>
  </si>
  <si>
    <t>Em vigor: Contrato Original/24/03/2017</t>
  </si>
  <si>
    <t>Em vigor: 1º Termo Aditivo/25/04/2017</t>
  </si>
  <si>
    <t>Em vigor: 4ºTermo Aditivo/12-04-2017</t>
  </si>
  <si>
    <t>Em Vigor: 3º Termo Aditivo/ 12/04/2017</t>
  </si>
  <si>
    <t>Em vigor: 2º Termo Aditivo/24/04/2017</t>
  </si>
  <si>
    <t>O Goiano Produtos e Serviços EIRELI-ME</t>
  </si>
  <si>
    <t>Fornecimento de 14 cadeiras giratórias à GoiásFomento.</t>
  </si>
  <si>
    <t>Em vigor: Contrato Original/05/04/2017</t>
  </si>
  <si>
    <t>Pregão Eletrônico SRP 001/2016</t>
  </si>
  <si>
    <t>Prestação de serviços para fornecimento de material gráfico diverso, para atender necessidades da GoiásFomento (Lotes 04).</t>
  </si>
  <si>
    <t>Em vigor: Contrato Original/25/05/2017</t>
  </si>
  <si>
    <t>2017.12.000823</t>
  </si>
  <si>
    <t>Ymune Alergo Serviços Médicos Sociedade Simples-EPP</t>
  </si>
  <si>
    <t>Fornecimento e aplicação de 105 doses da vacina contra gripe (Fluquadri, Influenza Tetravalente Fragmentada, Inativada) nos colaboradores da GoiásFomento.</t>
  </si>
  <si>
    <t>Em vigor: Contrato Original/08/05/2017</t>
  </si>
  <si>
    <t>Em vigor: 5ºTermo Aditivo/14/06/2017</t>
  </si>
  <si>
    <t>Prestação de serviços de movimentação e custódia qualificada no sistema especial de liquidação e de custódia - SELIC e na CETIP.</t>
  </si>
  <si>
    <t>Em Vigor: 4° Termo Aditivo/26/06/2017</t>
  </si>
  <si>
    <t>Art. 57, Inciso II.</t>
  </si>
  <si>
    <t>Art. 57, Inc. II, 1º</t>
  </si>
  <si>
    <t>Em Vigor: Contrato Original/14/06/2017</t>
  </si>
  <si>
    <t>Em vigor: 1º Termo Aditivo/14/06/2017</t>
  </si>
  <si>
    <t>Assinatura anual da ferramenta de pesquisa Banco de Preços.</t>
  </si>
  <si>
    <t>Em vigor: 1º Termo Aditivo/05/06/2017</t>
  </si>
  <si>
    <t>Art. 57, inc. II</t>
  </si>
  <si>
    <t>Em Vigor: 3º Termo Aditivo/12/06/2017</t>
  </si>
  <si>
    <t>Câmara de Dirigentes Lojistas de Formosa - CDL</t>
  </si>
  <si>
    <t>Em vigor: Contrato Original/09/06/2017</t>
  </si>
  <si>
    <t>Em vigor: 1º Termo Aditivo/18/07/2017</t>
  </si>
  <si>
    <t>Em vigor: 4º Termo Aditivo/03/08/2017</t>
  </si>
  <si>
    <t>Fornecimento, instalação e manutenção de ponto eletrônico na GoiásFomento S/A. (Termo aditivo: Prestação de serviços de manutenção de ponto eletrônico na GoiasFomento) (6 meses)</t>
  </si>
  <si>
    <t>Em Vigor: 5ºTermo Aditivo/28-07-2017</t>
  </si>
  <si>
    <t>Em vigor: 1º Termo Aditivo/27/07/2017</t>
  </si>
  <si>
    <t>Em Vigor: 3° Termo Aditivo/21/07/2017</t>
  </si>
  <si>
    <t>2017.12.001261</t>
  </si>
  <si>
    <t>Aker Consultoria e Informática S/A</t>
  </si>
  <si>
    <t>Renovação de assinatura do produto Subscription Aker Fw Box 837, com respectivo suporte, atualização e garantia.</t>
  </si>
  <si>
    <t>Em vigor: Contrato Original/17/07/2017</t>
  </si>
  <si>
    <t>Em vigor: 1º Termo Aditivo/15/08/2017</t>
  </si>
  <si>
    <t>Em vigor: 2º Termo Aditivo/15/08/2017</t>
  </si>
  <si>
    <t>Em vigor: 1º Termo Aditivo/03/08/2017</t>
  </si>
  <si>
    <t>Prestação de serviços de emissão e administração de cartões eletrônicos para o benefício "auxílio alimentação" nas modalidades auxílio refeição e auxílio cesta alimentação.</t>
  </si>
  <si>
    <t>Câmara de Dirigentes Logistas de Goianésia-CDL</t>
  </si>
  <si>
    <t>Associação Comercial, Industrial e Agropecuária de Chapadão do Céu-ACICC</t>
  </si>
  <si>
    <t>2017.12.001523</t>
  </si>
  <si>
    <t>Art. 24, Inc. IV</t>
  </si>
  <si>
    <t>Licenceamento de uso de Software e respectiva customização, parametrização, atualização, manutenção, suporte técnico e pontos de função. (180 dias)</t>
  </si>
  <si>
    <t>Em vigor: Contrato Original/01/08/2017</t>
  </si>
  <si>
    <t>2017.12.001478</t>
  </si>
  <si>
    <t>Art. 24 §1º</t>
  </si>
  <si>
    <t>Teknart Digital Comunicação Visual Ltda - EPP</t>
  </si>
  <si>
    <t>Prestação de serviços para fornecimento de fotocópias, encadernações, digitalizaçaõ de documentos e emissão de crachás, para a GoiásFomento S/A.</t>
  </si>
  <si>
    <t>Em vigor: Contrato Original/01/09/2017</t>
  </si>
  <si>
    <t>2017.12.000610</t>
  </si>
  <si>
    <t>Registro de preço 006/2017</t>
  </si>
  <si>
    <t>Telefônica Brasil S/A</t>
  </si>
  <si>
    <t>Prestação de serviço telefônico móvel pessoal (SMP) e Internet móvel (lote 01 SRP-006/2017), para atender às necessidades da GoiásFomento.</t>
  </si>
  <si>
    <t>6.900,00*</t>
  </si>
  <si>
    <t>9.840,60*</t>
  </si>
  <si>
    <t>Em vigor: Contrato Original/25/08/2017</t>
  </si>
  <si>
    <t>Prestação de serviços de acesso à Internet móvel com fornecimento de 5 modens USB/Roteador GSM com conexão 4G, em regime de comodato (Lote 02 SRP-006/2017) , para atender às necessidades da GoiásFomento.</t>
  </si>
  <si>
    <t>3.357,00*</t>
  </si>
  <si>
    <t>2013.12.000632</t>
  </si>
  <si>
    <t>Em vigor: 5º Termo Aditivo/01/09/2017</t>
  </si>
  <si>
    <t>2017.12.001915</t>
  </si>
  <si>
    <t>Zanderlan Freire Ferreira-85481432153</t>
  </si>
  <si>
    <t>Prestação de serviços para manutenção preventiva e corretiva de uma Central Telefônica PABX instalada na GoiásFomento.</t>
  </si>
  <si>
    <t>Berquó Brom Advogados Associados S/S (Eney Curado Brom Advogados Associados S/S)</t>
  </si>
  <si>
    <t>Prestação de serviços para fornecimento de material gráfico diverso, para atender necessidades da GoiásFomento (Lotes 02 e 05)</t>
  </si>
  <si>
    <t>Prestação de serviços para fornecimento de material gráfico diverso, para atender necessidades da GoiásFomento (Lote 04)</t>
  </si>
  <si>
    <t>Em vigor: 4° Termo Aditivo/04/10/2017</t>
  </si>
  <si>
    <t>Em Vigor: 7º Termo Aditivo/23/10/2017</t>
  </si>
  <si>
    <t>Em vigor: 5ºTermo Aditivo/03/10/2017</t>
  </si>
  <si>
    <t>CI COORH 507/2017</t>
  </si>
  <si>
    <t>Licitação realizada em dezembro/2017</t>
  </si>
  <si>
    <t>Em Vigor: 2º Termo Aditivo/07/12/2016</t>
  </si>
  <si>
    <t>VALORES PAGOS NO EXERCÍCIO 2017</t>
  </si>
  <si>
    <t>VALORES PAGOS NO EXERCÍCIO 2018</t>
  </si>
  <si>
    <t>Art. 57, Inc. II</t>
  </si>
  <si>
    <t>Câmara de Dirigentes Lojistas de Posse - CDL</t>
  </si>
  <si>
    <t>Em vigor: 1º Termo Aditivo/17/10/2017</t>
  </si>
  <si>
    <t>Em Vigor: 3º Termo Aditivo/28/12/2017</t>
  </si>
  <si>
    <t>Em vigor: 2º Termo Aditivo/05/01/2018</t>
  </si>
  <si>
    <t>2017.12.002860</t>
  </si>
  <si>
    <t>Fabrício Rodrigues de Sousa e Cia Ltda-ME</t>
  </si>
  <si>
    <t>Fornecimento, instalação e configuaração de 120 (cento e vinte) licenças de uso do Antivirus Trend Micro para a GoiásFomento.</t>
  </si>
  <si>
    <t>Em vigor: Contrato Original/28/12/2017</t>
  </si>
  <si>
    <t>Em vigor: 1º Termo Aditivo/07/12/2017</t>
  </si>
  <si>
    <t>2017.12.002803</t>
  </si>
  <si>
    <t>Pregão Eletrônico 003/2017</t>
  </si>
  <si>
    <t>N. V. A. Representações e Participações Ltda-EPP</t>
  </si>
  <si>
    <t>Prestação de serviços de licenciamento de uso de Software para prover soluções integradas para gestão e controle financeiro das operações de crédito, contabilidade, informações legais e risco, compras, gestão de imobilizado, financeiro, serviços de instação, implantação, migração de dados, parametrização, customização, testes, acompanhamento, documentação, treinamento, atualização, manutenção e suporte técnico/funcional, com aquisição de Licença Permanente de Uso, com entrega do código fonte do sistema e transferência de tecnologia para a GoiásFomento.</t>
  </si>
  <si>
    <t>Em vigor: Contrato Original/29/12/2017</t>
  </si>
  <si>
    <t>Em vigor: 2º Termo Aditivo/01/12/2017</t>
  </si>
  <si>
    <t>Associação Comercial, Industrial e Serviços de Itumbiara ACISI</t>
  </si>
  <si>
    <t>Em vigor: 1º Termo Aditivo/01/12/2017</t>
  </si>
  <si>
    <t>Associação Comercial, Industrial e Serviços de Catalão - ACIC</t>
  </si>
  <si>
    <t>Em Vigor: 4º Termo Aditivo/01/12/2017</t>
  </si>
  <si>
    <t>Prestação de serviços de monitoramento eletrônico com apoio tático em 3 (três) prédios da GoiásFomento.</t>
  </si>
  <si>
    <t>Em vigor: 2º Termo Aditivo/04/12/2017</t>
  </si>
  <si>
    <t>Em vigor: 4º Termo Aditivo/26/12/2017</t>
  </si>
  <si>
    <t>2017.12.002851</t>
  </si>
  <si>
    <t>TBC Soluções em Gestão Ltda-ME</t>
  </si>
  <si>
    <t>Prestação de serviços de implantação e suporte técnico do módulo de automação do ponto eletrônico e capitação do RM Portal na GoiásFomento.</t>
  </si>
  <si>
    <t>Em vigor: Contrato Original/22/12/2017</t>
  </si>
  <si>
    <t>2017.12.003091</t>
  </si>
  <si>
    <t>Fornecimento e prestação de serviços mensais e conectividade de licença (cessão de direito de uso de software).</t>
  </si>
  <si>
    <t>Em vigor: Contrato Original/21/12/2017</t>
  </si>
  <si>
    <t>2017.12.002822</t>
  </si>
  <si>
    <t>SRP 010/2016-NUSLF/SEGPLAN</t>
  </si>
  <si>
    <t>Trivale Administração Ltda</t>
  </si>
  <si>
    <t>Em vigor: 1º Termo Aditivo/27/02/2018</t>
  </si>
  <si>
    <t>Em vigor: 2º Termo Aditivo/01/02/2018</t>
  </si>
  <si>
    <t>Em vigor: 1º Termo Aditivo/08/02/2018</t>
  </si>
  <si>
    <t>Em vigor: 2º Termo Aditivo/15/02/2018</t>
  </si>
  <si>
    <t>Prestação de serviços para fornecimento de material gráfico diverso, para atender necessidades da GoiásFomento (Lote 01)</t>
  </si>
  <si>
    <t>CICOORH 119/2018</t>
  </si>
  <si>
    <t>CI COORH 119/2018</t>
  </si>
  <si>
    <t>2018.08.001994</t>
  </si>
  <si>
    <t>Caixa Econômica Federal-CEF</t>
  </si>
  <si>
    <t>Em vigor: Contrato Original/04/05/2018</t>
  </si>
  <si>
    <t>123.523,50f</t>
  </si>
  <si>
    <t>Em vigor: 2º Termo Aditivo/05/03/2018</t>
  </si>
  <si>
    <t>Prestação de serviços de vigilância e segurança armada. (8 meses)</t>
  </si>
  <si>
    <t>Em Vigor: 4º Termo Aditivo/ 21/03/2018</t>
  </si>
  <si>
    <t>Em vigor: 1º Termo Aditivo/23/03/2018</t>
  </si>
  <si>
    <t>2018.12.000500</t>
  </si>
  <si>
    <t>Prestação de serviços de locação de 08 (oito) veículos automotores para atender necessidades da GoiásFomento.</t>
  </si>
  <si>
    <t>Em vigor: Contrato Original/22/03/2018</t>
  </si>
  <si>
    <t>2018.12.000817</t>
  </si>
  <si>
    <t>Fornecimento de uma quantidade mensal estimada de 4.076 (quatro mil e setenta e seis) Vales Transportes, que serão creditados através de Cartão Fácil-SET, aos empregados da GoiásFomento.</t>
  </si>
  <si>
    <t>Em vigor: Contrato Original/21/03/2018</t>
  </si>
  <si>
    <t>Prestação de serviços para fornecimento de fotocópias, encadernações, digitalização de documentos e emissão de crachás, para a GoiásFomento S/A.</t>
  </si>
  <si>
    <t>Sindicato das Empresas de Transporte Coletivo Urbano de Passageiros de Goiânia - SETRANSP (REDEMOB CONSÓRCIO)</t>
  </si>
  <si>
    <t>Em vigor: 2º Termo Aditivo/23/05/2018</t>
  </si>
  <si>
    <t>Em vigor: 2º Termo Aditivo/21/06/2018</t>
  </si>
  <si>
    <t>Em vigor: 2° Termo Aditivo/04/05/2018</t>
  </si>
  <si>
    <t>2018.12.001587</t>
  </si>
  <si>
    <t>Edital de credenciamento 001/2018</t>
  </si>
  <si>
    <t>Danilo Lucas de Lima Morais 00860308170</t>
  </si>
  <si>
    <t>Credenciamento de Sociedades Empresárias e empresas que atuam em consultoria e assessoria financeira, contábil e jurídica, inscritas no CORECON, CRA, CRC, CREA, CRMV e OAB, todas do Estado de Goiás, para atuação como Correspondente de crédito da GoiásFomento.</t>
  </si>
  <si>
    <t>Em vigor: Contrato Original/10/09/2018</t>
  </si>
  <si>
    <t>Sigma Assessoria e Contabilidade Ltda</t>
  </si>
  <si>
    <t>Em vigor: 2º Termo Aditivo/09/06/2018</t>
  </si>
  <si>
    <t>Em Vigor: 4º Termo Aditivo/18/06/2018</t>
  </si>
  <si>
    <t>IPAC Inteligência Tributária e Contabilidade Eireli</t>
  </si>
  <si>
    <t>João Costa de Souza 547958000197 ME</t>
  </si>
  <si>
    <t>E Nery dos Santos Contabilidade e Perícia</t>
  </si>
  <si>
    <t>Geovane Souza Peixoto</t>
  </si>
  <si>
    <t>Rayanne Canedo Silva</t>
  </si>
  <si>
    <t>Pensamento Econômico Consultoria e Projetos Empresariais Ltda</t>
  </si>
  <si>
    <t>L R Chaveiro e Cia Ltda</t>
  </si>
  <si>
    <t>Escritório Contábil São José Ltda-ME</t>
  </si>
  <si>
    <t>Pontual Assessoria Contábil e Empresarial Ltda ME</t>
  </si>
  <si>
    <t>Somar Consultoria e Assessoria Contábil Ltda</t>
  </si>
  <si>
    <t>Anderson Lopes de Lima - ME</t>
  </si>
  <si>
    <t>Marcos Vinícius Fernandes Borges</t>
  </si>
  <si>
    <t>Jeoverson Tavares Oliveira 82773254104</t>
  </si>
  <si>
    <t>Ação Contabilidade - Sociedade Simples</t>
  </si>
  <si>
    <t>Estrutura Contábil SS Ltda ME</t>
  </si>
  <si>
    <t>Lindelma Sebastiana da Silva</t>
  </si>
  <si>
    <t>Ângela Maria Ferreira Bento</t>
  </si>
  <si>
    <t>Loógic Empresarial Ltda - ME</t>
  </si>
  <si>
    <t>On Line Contabilidade Eireli - ME</t>
  </si>
  <si>
    <t>Total Organização Contábil Eireli</t>
  </si>
  <si>
    <t>Thiago Rodrigues Mota - ME</t>
  </si>
  <si>
    <t>Simplício e Advogados Associados</t>
  </si>
  <si>
    <t>Accontax Contabilidade Eireli</t>
  </si>
  <si>
    <t>Atual Consultoria Empresarial Ltda - ME</t>
  </si>
  <si>
    <t>Cavalcanti Contabilidade e Assessoria Empresarial Ltda</t>
  </si>
  <si>
    <t>Onix Contabilidade e Consultoria Empresarial Eireli</t>
  </si>
  <si>
    <t>Em vigor: Contrato Original/22/08/2018</t>
  </si>
  <si>
    <t>Em Vigor: 8º Termo Aditivo/13/08/2018</t>
  </si>
  <si>
    <t>2018.12.002862</t>
  </si>
  <si>
    <t>Serviços de parametrização e implantação da ferramenta TAF (Totvs Automação Fiscal) visando executar o atualizador do pacote eSocial e capacitar a GoiásFomento sobre a rotina junto ao eSocial.</t>
  </si>
  <si>
    <t>Em vigor: Contrato Original/13/08/2018</t>
  </si>
  <si>
    <t>Em vigor: Contrato Original/14/08/2018</t>
  </si>
  <si>
    <t>2018.12.001905</t>
  </si>
  <si>
    <t>Centro Oeste Digital Telecomunicações Ltda</t>
  </si>
  <si>
    <t>Fornecimento de link de fibra ótica Lan to Lan (Metro ethernet) interligando a GoiásFomento com a Segplan.</t>
  </si>
  <si>
    <t>Em vigor: Contrato Original/05/08/2018</t>
  </si>
  <si>
    <t>Elizangela de Melo Rodrigues</t>
  </si>
  <si>
    <t>Em vigor: Contrato Original/15/08/2018</t>
  </si>
  <si>
    <t>Lucas Marques de Moura - ME</t>
  </si>
  <si>
    <t>Do Carmo Contabilidade Eireli - ME</t>
  </si>
  <si>
    <t>Ana Paula Xavier Amaral 03731439158</t>
  </si>
  <si>
    <t>D. B. Teles Contabilidade e Consultoria - ME</t>
  </si>
  <si>
    <t>CSM Organização Contábil Ltda - ME</t>
  </si>
  <si>
    <t>Proventus Assessoria e Consultoria Contábil Ltda. - ME</t>
  </si>
  <si>
    <t>Prime Serviços Contábeis Eireli - ME</t>
  </si>
  <si>
    <t>Inove Contabilidade e Consultoria Empresarial Eireli - ME</t>
  </si>
  <si>
    <t>CPA Consultoria e Projetos Agro Ambientais Ltda</t>
  </si>
  <si>
    <t>Otiniel Mendes Lauriano</t>
  </si>
  <si>
    <t>Daher e Azevedo Assessoria Contábil Ltda</t>
  </si>
  <si>
    <t>Rhilson Aspem Acompanhamento de Projetos Empresariais Ltda.</t>
  </si>
  <si>
    <t>Escritório Rural Contábil Ltda</t>
  </si>
  <si>
    <t>Valorimex.com Grupo de Assessoria e Consultoria Empresarial Ltda</t>
  </si>
  <si>
    <t>Concisa Consultoria Informática Serviços Assessoria Ltda - ME</t>
  </si>
  <si>
    <t>AJ Assessoria e Consultoria de Planejamentos Agropecuários Ltda</t>
  </si>
  <si>
    <t>Pratika Empresarial - Consultoria e Assessoria Eireli</t>
  </si>
  <si>
    <t>Asteca Contabilidade Eireli</t>
  </si>
  <si>
    <t>E Mateus da s Júnior - Contabilidade e Serviços</t>
  </si>
  <si>
    <t>Vercont Serviços Contábeis Ltda</t>
  </si>
  <si>
    <t>P.R. de Lima Contabilidade</t>
  </si>
  <si>
    <t>Franklin Fernandes Gonçalves - BV Contabilidade</t>
  </si>
  <si>
    <t>Exata Contabilidade e Consultoria</t>
  </si>
  <si>
    <t>Jeyce Carla - Sociedade Individual de Advocacia</t>
  </si>
  <si>
    <t>Em vigor: 2º Termo Aditivo/16/08/2018</t>
  </si>
  <si>
    <t>Douglas José Mendonça</t>
  </si>
  <si>
    <t>Em vigor: Contrato Original/11/09/2018</t>
  </si>
  <si>
    <t>José Lemes de Santana</t>
  </si>
  <si>
    <t>Em vigor: Contrato Original/25/09/2018</t>
  </si>
  <si>
    <t>Câmara de Dirigentes Lojistas de Nerópolis - CDL</t>
  </si>
  <si>
    <t>Em vigor: Contrato Original/08/10/2018</t>
  </si>
  <si>
    <t>Em vigor: 2º Termo Aditivo/25/09/2018</t>
  </si>
  <si>
    <t>Em vigor: 2º Termo Aditivo/10/10/2018</t>
  </si>
  <si>
    <t>Em vigor: 2º Termo Aditivo/25/10/2018</t>
  </si>
  <si>
    <t>Dalsiza Moreira do Vale Santos</t>
  </si>
  <si>
    <t>Em vigor: 1º Termo Aditivo/10/09/2018</t>
  </si>
  <si>
    <t>Em vigor: 2º Termo Aditivo/22/08/2018</t>
  </si>
  <si>
    <t>Inteligência e Inovação Empresarial Ltda</t>
  </si>
  <si>
    <t>Contec - Gestão Contábil e Empresarial S/S Ltda</t>
  </si>
  <si>
    <t>Conex Assessoria Contábil Eireli</t>
  </si>
  <si>
    <t>2018.12.001686</t>
  </si>
  <si>
    <t>ASMETRO - Assessoria em Segurança e Medicina do Trabalho LTDA-EPP</t>
  </si>
  <si>
    <t>Prestação de serviços de assessoria na implantação e desenvolvimento do PCMSO e PPRA</t>
  </si>
  <si>
    <t>Em vigor: Contrato Original/09/07/2018</t>
  </si>
  <si>
    <t>2017.12.001532</t>
  </si>
  <si>
    <t>Teixeira Sociedade Individual de Advocacia</t>
  </si>
  <si>
    <t>Prestação de serviços advocatícios de natureza contenciosa, visando à recuperação de créditos e bens de interesse da GoiásFomento.</t>
  </si>
  <si>
    <t>Em vigor: Contrato Original/05/04/2018</t>
  </si>
  <si>
    <t>Sociedade de Advogados Silveira Santos Advogados Associados</t>
  </si>
  <si>
    <t>Sociedade de Advogados Rahif e Moura Advogados Associados SS</t>
  </si>
  <si>
    <t>Sociedade de Advogados Oliveira e Guimarães Advogados e Consultores Associados SS</t>
  </si>
  <si>
    <t>Sociedade de Advogados Nelson Willians e  Advogados Associados SS</t>
  </si>
  <si>
    <t>Sociedade de Advogados Mota e Oliveira Advogados e Consultores Associados SS</t>
  </si>
  <si>
    <t>Sociedade de Advogados Marcelo Gurgel e Advogados Associados SS</t>
  </si>
  <si>
    <t>Sociedade de Advogados Machado, Valentim, Felício e Vasconcelos Advogados Associados SS</t>
  </si>
  <si>
    <t>Sociedade de Advogados Lopes e Leão SS</t>
  </si>
  <si>
    <t>Sociedade de Advogados Jairo Faleiro da Silva Advogados Associados SS</t>
  </si>
  <si>
    <t>Sociedade de Advogados Enil, Itacaramby e Lourenço e Advogados Associados SS</t>
  </si>
  <si>
    <t>Sociedade de Advogados Edson Barcellos SS</t>
  </si>
  <si>
    <t>Sociedade de Advogados Dourado Advogados Associados SS</t>
  </si>
  <si>
    <t>Sociedade de Advogados D'Oliveira e Pimpão Advogados Associados SS</t>
  </si>
  <si>
    <t>Sociedade de Advogados Dayrell, Rodrigues e Advogados Associados SS</t>
  </si>
  <si>
    <t>Sociedade de Advogados Carraro Advogados Associados SS</t>
  </si>
  <si>
    <t>Sociedade de Advogados Campos e Valtuille Advogados Associados SS</t>
  </si>
  <si>
    <t>Sociedade Individual de Advocacia Camile Cristine Carvalho</t>
  </si>
  <si>
    <t>Sociedade de Advogados Câmara Vieira e Raslan SS</t>
  </si>
  <si>
    <t>Sociedade de Advogados Bastos Advocacia SS</t>
  </si>
  <si>
    <t>Sociedade de Advogados Advocacia Martins SS</t>
  </si>
  <si>
    <t>Sociedade de Advogados Alvares Porto e Fujioka Advogados SS</t>
  </si>
  <si>
    <t>GR4 Engenharia e Construções Ltda ME</t>
  </si>
  <si>
    <t>Em vigor: Contrato Original/16/05/2018</t>
  </si>
  <si>
    <t>Em vigor: 2º Termo Aditivo/05/04/2018</t>
  </si>
  <si>
    <t>Em vigor: 2º Termo Aditivo/04/04/2018</t>
  </si>
  <si>
    <t>Em vigor: 5ºTermo Aditivo/03/05/2018</t>
  </si>
  <si>
    <t>Em Vigor: 4º Termo Aditivo/ 30/05/2018</t>
  </si>
  <si>
    <t>Cooperativa de Crédito Rural e Servidores Públicos de Mineiros Goiás</t>
  </si>
  <si>
    <t>Em vigor: Contrato Original/25/04/2018</t>
  </si>
  <si>
    <t>Dispolibilizar ao CONVENENTE, informações do Sistema do FGTS, referentes aos Certificados de Regularidade do FGTS em vigor, emitidos pela CAIXA aos empregaddores que estejam em situação regular perante esse Fundo</t>
  </si>
  <si>
    <t>Sem custo para a GoiásFomento</t>
  </si>
  <si>
    <t>Em vigor: 3º Termo Aditivo/24/04/2018</t>
  </si>
  <si>
    <t>Em vigor: 2º Termo Aditivo/06/03/2018</t>
  </si>
  <si>
    <t>Em vigor: Contrato Original/04/04/2018</t>
  </si>
  <si>
    <t>Em vigor: 2º Termo Aditivo/02/01/2018</t>
  </si>
  <si>
    <t>Em Vigor: 4º Termo Aditivo/02/04/2018</t>
  </si>
  <si>
    <t>Em vigor: 5º Termo Aditivo/26/12/2017</t>
  </si>
  <si>
    <t>Nova Licitação realizada em dezembro/2017</t>
  </si>
  <si>
    <t>VALORES PAGOS NO EXERCÍCIO 2019</t>
  </si>
  <si>
    <t>M &amp; C Comércio de Móveis Ltda ME.</t>
  </si>
  <si>
    <t>E Mateus da S Júnior - Contabilidade e Serviços</t>
  </si>
  <si>
    <t>TOTAL PG EM 2019</t>
  </si>
  <si>
    <t>2018.12.003495</t>
  </si>
  <si>
    <t>Total Vigilânica e Segurança Ltda</t>
  </si>
  <si>
    <t xml:space="preserve">Prestação de serviços de vigilância e segurança armada. </t>
  </si>
  <si>
    <t xml:space="preserve">Adesão a ATA de Registro de Preço 001/2018 </t>
  </si>
  <si>
    <t>Em vigor: Contrato Original/02/12/2018</t>
  </si>
  <si>
    <t>GEPAT</t>
  </si>
  <si>
    <t>2018.12.003619</t>
  </si>
  <si>
    <t>OI S/A</t>
  </si>
  <si>
    <t>Em vigor: 1º Termo Aditivo/19/12/2018</t>
  </si>
  <si>
    <t>Dispensa nº 16/2017</t>
  </si>
  <si>
    <t>2019.12.00425</t>
  </si>
  <si>
    <t>Pregão Eletrônico 005/2019</t>
  </si>
  <si>
    <t>Fornecimento de licença de uso de software</t>
  </si>
  <si>
    <t>Contrato Original: 23/04/2019</t>
  </si>
  <si>
    <t>2018.12.003321</t>
  </si>
  <si>
    <t>Pregão Eletrônico 003/2018</t>
  </si>
  <si>
    <t>IPHAC Instituto de promoção humana, aprendizagem e cultura</t>
  </si>
  <si>
    <t>Contrato Original: 20/09/2018</t>
  </si>
  <si>
    <t>2018.12.004314</t>
  </si>
  <si>
    <t>Carta Convite 001/2018</t>
  </si>
  <si>
    <t>Contrato Original: 13/12/2018</t>
  </si>
  <si>
    <t>GEPES</t>
  </si>
  <si>
    <t>2018.12.005770</t>
  </si>
  <si>
    <t>Pregão Eletrônico 002/2019</t>
  </si>
  <si>
    <t>CEF S/A</t>
  </si>
  <si>
    <t>Prestação de serviços de mov e custódia qualificada junto a SELIC e CETIP</t>
  </si>
  <si>
    <t>Contrato Original: 01/02/2019</t>
  </si>
  <si>
    <t>ASTEC</t>
  </si>
  <si>
    <t>2018.12.004381</t>
  </si>
  <si>
    <t>Pregão Eletrônico 002/2018</t>
  </si>
  <si>
    <t>MBM Comercial e Serviços</t>
  </si>
  <si>
    <t>Locação de impressoras laser, e prest. de assist. téc. preventivas fornecimento de papel</t>
  </si>
  <si>
    <t>Contrato Original: 28/11/2018</t>
  </si>
  <si>
    <t>2018.12.004481</t>
  </si>
  <si>
    <t>Pregão Eletrônico 005/2018</t>
  </si>
  <si>
    <t>Centro Oeste Sistemas de Segurança</t>
  </si>
  <si>
    <t>Prestação de serv. de monitoramento eletrônico com apoio táctico em 03 prédios da GoiásFomento</t>
  </si>
  <si>
    <t>Contrato Original: 14/01/2019</t>
  </si>
  <si>
    <t>2018.12.005606</t>
  </si>
  <si>
    <t>Credenciamento 001/2019</t>
  </si>
  <si>
    <t>CDL Goiânia</t>
  </si>
  <si>
    <t>Contrato Original: 20/03/2019</t>
  </si>
  <si>
    <t>2018.12.001907</t>
  </si>
  <si>
    <t>APM de Mendonça Baeta - Superi Telecom ME</t>
  </si>
  <si>
    <t>Prestação de serviços de comunicação de dados ponto-aponto e de acesso dedicado à internet em alta disponibilidade, para a GoiásFomento.</t>
  </si>
  <si>
    <t>Contrato Original: 31/01/2019</t>
  </si>
  <si>
    <t>2018.12.004306</t>
  </si>
  <si>
    <t>Art.24, §1º</t>
  </si>
  <si>
    <t>2018.12.004418</t>
  </si>
  <si>
    <t>Contrato de prestação de serviços de telefonia fixa comutada (STFC) nas modalidades: local (fixo-fixo e fixo-móvel), interurbanas: (fixo-fixo e fixo-móvel), longa distância internacional (fixo-fixo e fixo-móvel) e 0800.</t>
  </si>
  <si>
    <t>Contrato Original: 06/02/2019</t>
  </si>
  <si>
    <t>Art. 32, § 2º</t>
  </si>
  <si>
    <t>Eney Curado Brom Filho - Advogados Associados S/S</t>
  </si>
  <si>
    <t>Prestação de serviço de Credenciamento de Correspondentes junto à GoiásFomento.</t>
  </si>
  <si>
    <t>Contrato Original: 29/01/2019</t>
  </si>
  <si>
    <t>Augusto Sena Advogados Associados S/S</t>
  </si>
  <si>
    <t>Contrato Original: 30/01/2019</t>
  </si>
  <si>
    <t>GEACO</t>
  </si>
  <si>
    <t>Diego Lemes dos Santos</t>
  </si>
  <si>
    <t>Contrato Original: 08/02/2019</t>
  </si>
  <si>
    <t>Contrato Original: 15/02/2019</t>
  </si>
  <si>
    <t>Ideal Consultoria Governamental EIRELI</t>
  </si>
  <si>
    <t>Contrato Original: 04/02/2019</t>
  </si>
  <si>
    <t>Futura Serviços Empresariais de Contabilidade Ambiental EIRELI</t>
  </si>
  <si>
    <t>B&amp;M Consultoria e Serviços Empresariais Ltda</t>
  </si>
  <si>
    <t xml:space="preserve">CR Assessoria e Consultoria Contábil EIRELI </t>
  </si>
  <si>
    <t>2019.12.000836</t>
  </si>
  <si>
    <t>Divicenter - Divisórias e Revestimentos Ltda - EPP</t>
  </si>
  <si>
    <t>Prestação de serviços para confecção de armários acoplados em divisórias e serviços de montagem e desmontagem de divisórias, para atender demanda da GoiásFomento.</t>
  </si>
  <si>
    <t>Contrato Original: 07/02/2019</t>
  </si>
  <si>
    <t xml:space="preserve">Jaó Contabilidade EIRELI - ME </t>
  </si>
  <si>
    <t>Contrato Original: 01/03/2019</t>
  </si>
  <si>
    <t>2018.12.004791</t>
  </si>
  <si>
    <t>Pregão Eletrônico 001/2019</t>
  </si>
  <si>
    <t>AUDIMEC - Auditores Independentes S/S EPP</t>
  </si>
  <si>
    <t>Prestação de serviços de auditoria contábil independente das demonstrações financeiras, fiscais e orçamentárias semestrais e anuais da GoiásFomento.</t>
  </si>
  <si>
    <t>Contrato Original: 28/02/2019</t>
  </si>
  <si>
    <t>ACRESCENTADO EM 27/05/2019. ENCONTRADO NO SITE GOIASFOMENTO</t>
  </si>
  <si>
    <t>2019.12.001132</t>
  </si>
  <si>
    <t>Prestação de serviçios de diagramação e publicação de matérias oficiais da GoiásFomento no Diário Oficial do Estado de Goiás - DOE</t>
  </si>
  <si>
    <t>Contrato Original: 05/04/2019</t>
  </si>
  <si>
    <t>Agência Brasil Central - ABC</t>
  </si>
  <si>
    <t>JP Negócios EIRELI</t>
  </si>
  <si>
    <t>Contrato Original: 11/04/2019</t>
  </si>
  <si>
    <t>Jimmy Anderson Pena Queiros EIRELI</t>
  </si>
  <si>
    <t>Contrato Original: 04/04/2019</t>
  </si>
  <si>
    <t>2019.12.001142</t>
  </si>
  <si>
    <t>Promática Equipamentos e Móveis para Escritório Ltda - EPP</t>
  </si>
  <si>
    <t>Fornecimento de mobiliário corporativo para atender necessidades da GoiásFomento.</t>
  </si>
  <si>
    <t>Contrato Original: 15/03/2019</t>
  </si>
  <si>
    <t>2019.12.001158</t>
  </si>
  <si>
    <t>WF Licitações Ltda-ME</t>
  </si>
  <si>
    <t>Fornecimento de 14 (quatorze) baterias estacionárias de 105 a 115 Ah, para alimentação de nobreaks da GoiásFomento.</t>
  </si>
  <si>
    <t>GETEC</t>
  </si>
  <si>
    <t>Em vigor: 1º Termo Aditivo/18/03/2019</t>
  </si>
  <si>
    <t>Em vigor: 2º Termo Aditivo/18/03/2019</t>
  </si>
  <si>
    <t>Serviços de parametrização e implantação da ferramenta TAF (Totvs Automação Fiscal) visando executar o atualizador do pacote eSocial e GEACOitar a GoiásFomento sobre a rotina junto ao eSocial.</t>
  </si>
  <si>
    <t>GEJUD</t>
  </si>
  <si>
    <t>GEREC</t>
  </si>
  <si>
    <t>GELIC</t>
  </si>
  <si>
    <t>Prestação de serviços de fornecimento de vales transportes através do cartão fácil aos empregados da GoiásFomento.</t>
  </si>
  <si>
    <t>Em vigor: 3º Termo Aditivo/15/02/2019</t>
  </si>
  <si>
    <t>Prestação de serviços de 01 (um) posto de vigilância e segurança armada ininterrupta na GoiásFomento.</t>
  </si>
  <si>
    <t>Em vigor: 1º Termo Aditivo/15/03/2019</t>
  </si>
  <si>
    <t>TOTAL PG EM 2018</t>
  </si>
  <si>
    <t>Em vigor: 1º Termo Aditivo/24-8-2018</t>
  </si>
  <si>
    <t>Em vigor: Contrato Original/30/11/2017</t>
  </si>
  <si>
    <t>Art. 24 , § 1º</t>
  </si>
  <si>
    <t>Prestação de serviços de acesso IP dedicado, implantado sobre um enlace determinístico, sem restrição de tráfego de dados.</t>
  </si>
  <si>
    <t>Em vigor: Contrato Original/01/10/2018</t>
  </si>
  <si>
    <t>Prestação de serviços para fornecimento de material gráfico diverso, materiais de expediente e eventos. (Lote 04)</t>
  </si>
  <si>
    <t>Em vigor: 2º Termo Aditivo/25/05/2018</t>
  </si>
  <si>
    <t>Em vigor: 6º Termo Aditivo/03/08/2018</t>
  </si>
  <si>
    <t>ASX4B Sistema de Informática Ltda</t>
  </si>
  <si>
    <t>2019.12.000314</t>
  </si>
  <si>
    <t>Contrato Original: 24/01/2019</t>
  </si>
  <si>
    <t>Em vigor: 4º Termo Aditivo/23/04/2019</t>
  </si>
  <si>
    <t>Em vigor: 2º Termo Aditivo/01/03/2019</t>
  </si>
  <si>
    <t>Em vigor: 1º Termo Aditivo/21/12/2018</t>
  </si>
  <si>
    <t>Lince Assessoria Contábil e Empresarial SS Ltda</t>
  </si>
  <si>
    <t>Pregão eletrônico 003/2013</t>
  </si>
  <si>
    <t>Convite 003/2013</t>
  </si>
  <si>
    <t>Dispensa de Licitação 002/2016</t>
  </si>
  <si>
    <t>Dispensa de licitação</t>
  </si>
  <si>
    <t>Dispensa de licitação 009/2017</t>
  </si>
  <si>
    <t>Dispensa de licitação 2017</t>
  </si>
  <si>
    <t>Inexigibilidade 14/03/2017</t>
  </si>
  <si>
    <t>Dispensa de licitação 016/2017</t>
  </si>
  <si>
    <t>Registro de Preços Edital 002/2017</t>
  </si>
  <si>
    <t>Dispensa de Licitação 15/2017</t>
  </si>
  <si>
    <t>Inexigibilidade 07/03/2018</t>
  </si>
  <si>
    <t>Dispensa de licitação 005/2018</t>
  </si>
  <si>
    <t>Edital de Credenciamento 002/2017</t>
  </si>
  <si>
    <t>Edital de Credenciamento 002/2018</t>
  </si>
  <si>
    <t>Edital de Credenciamento 002/2019</t>
  </si>
  <si>
    <t>Edital de Credenciamento 002/2020</t>
  </si>
  <si>
    <t>Edital de Credenciamento 002/2021</t>
  </si>
  <si>
    <t>Edital de Credenciamento 002/2022</t>
  </si>
  <si>
    <t>Edital de Credenciamento 002/2023</t>
  </si>
  <si>
    <t>Edital de Credenciamento 002/2024</t>
  </si>
  <si>
    <t>Edital de Credenciamento 002/2025</t>
  </si>
  <si>
    <t>Edital de Credenciamento 002/2026</t>
  </si>
  <si>
    <t>Edital de Credenciamento 002/2027</t>
  </si>
  <si>
    <t>Edital de Credenciamento 002/2028</t>
  </si>
  <si>
    <t>Edital de Credenciamento 002/2029</t>
  </si>
  <si>
    <t>Edital de Credenciamento 002/2030</t>
  </si>
  <si>
    <t>Edital de Credenciamento 002/2031</t>
  </si>
  <si>
    <t>Edital de Credenciamento 002/2032</t>
  </si>
  <si>
    <t>Edital de Credenciamento 002/2033</t>
  </si>
  <si>
    <t>Edital de Credenciamento 002/2034</t>
  </si>
  <si>
    <t>Edital de Credenciamento 002/2035</t>
  </si>
  <si>
    <t>Edital de Credenciamento 002/2036</t>
  </si>
  <si>
    <t>Edital de Credenciamento 002/2037</t>
  </si>
  <si>
    <t>Edital de Credenciamento 002/2038</t>
  </si>
  <si>
    <t>Ação Social Contabilidade Simples</t>
  </si>
  <si>
    <t>Xavier Amaral</t>
  </si>
  <si>
    <t>Em vigor: Contrato Original/27/08/2018</t>
  </si>
  <si>
    <t>Andrade Advogados Associados</t>
  </si>
  <si>
    <t>Bruno Augusto Cortes de Oliveira</t>
  </si>
  <si>
    <t>Em vigor: Contrato Original/10/12/2018</t>
  </si>
  <si>
    <t>CC Rezende Consultoria e Assessoria Empresarial</t>
  </si>
  <si>
    <t>Câmara de Dirigentes Lojistas de Jussara</t>
  </si>
  <si>
    <t>Em vigor: 2º Termo Aditivo/15/10/2018</t>
  </si>
  <si>
    <t>Dados Contabilidade e Serviços Ltda</t>
  </si>
  <si>
    <t>Daniel Bezerra Business Plan S/S ME</t>
  </si>
  <si>
    <t>Em vigor: Contrato Original/11/12/2018</t>
  </si>
  <si>
    <t>Elizangela Silva Sociedade Individual de Advocacia</t>
  </si>
  <si>
    <t>G.T.T. Consultoria e Assessoria Ltda</t>
  </si>
  <si>
    <t>Isac da Silva Souza</t>
  </si>
  <si>
    <t>Em vigor: Contrato Original/25/9/2018</t>
  </si>
  <si>
    <t>JM Consultoria e Projetos Ltda</t>
  </si>
  <si>
    <t>Em vigor: Contrato Original/31/8/2018</t>
  </si>
  <si>
    <t>Assessoria Contábil e Empresarial SS Ltda</t>
  </si>
  <si>
    <t>Em vigor: Contrato Original/11/10/2018</t>
  </si>
  <si>
    <t>Verídica Gestáo Contábil SS Ltda</t>
  </si>
  <si>
    <t xml:space="preserve">              </t>
  </si>
  <si>
    <t>CI GETEC 027/2019-Contrato cancelado.</t>
  </si>
  <si>
    <t>Em vigor: 8º Termo Aditivo/01/09/2018</t>
  </si>
  <si>
    <t>Total Vigilância e Segurança Ltda</t>
  </si>
  <si>
    <t>VIA SEI 201900059000149</t>
  </si>
  <si>
    <t>VIA SEI 201900059000156</t>
  </si>
  <si>
    <t>Processo SEI 201900059000192</t>
  </si>
  <si>
    <t>Processo SEI 201900059000194</t>
  </si>
  <si>
    <t>Via SEI 201900059000333</t>
  </si>
  <si>
    <t>Prestação de serviços de correspondente de crédito para coleta de informações cadastrais junto à GoiásFomento.</t>
  </si>
  <si>
    <t>Contrato Original: 11/12/2018</t>
  </si>
  <si>
    <t>2019.12.001571</t>
  </si>
  <si>
    <t xml:space="preserve">Pregão Eletrônico 007/2019 </t>
  </si>
  <si>
    <t>Prestação de serviços de monitoramento eletrônico e manutenção do sistema de prevenção contra incêndio, em 02 prédios da GoiásFomento.</t>
  </si>
  <si>
    <t>Contrato Original: 22/05/2019</t>
  </si>
  <si>
    <t>2019.12.001570</t>
  </si>
  <si>
    <t xml:space="preserve">Pregão Eletrônico 006/2019 </t>
  </si>
  <si>
    <t>Ivone Sousa Rosa Empreendimentos Turísticos e Promoções</t>
  </si>
  <si>
    <t>Prestação de serviços para fornecimento de passagens aéreas nacionais e internacionais, incluindo reservas, emissão, marcação e remarcação de bilhetes e hospedagens em hotéis para empregados da GoiásFomento.</t>
  </si>
  <si>
    <t>Contrato Original: 29/05/2019</t>
  </si>
  <si>
    <t>2019.12.001137</t>
  </si>
  <si>
    <t>Pregão Eletrônico 008/2019</t>
  </si>
  <si>
    <t>Editora Raízes Ltda - EPP</t>
  </si>
  <si>
    <t>Prestação de serviços para publicação de matérias oficiais em jornal de grande circulação no Estado de Goiás.</t>
  </si>
  <si>
    <t>Contrato Original: 14/06/2019</t>
  </si>
  <si>
    <t>2019.12.003417</t>
  </si>
  <si>
    <t>Técnicas Promocionais de Eventos Ltda</t>
  </si>
  <si>
    <t>Prestação de serviços/locação de infraestrutura, montagem e desmontagem de stand para atender necessidades da GoiásFomento, por ocasião da transferência da Capital para a cidade de Goiás.</t>
  </si>
  <si>
    <t>Contrato Original: 23/08/2019</t>
  </si>
  <si>
    <t>2019.12.002373</t>
  </si>
  <si>
    <t>Pregão Eletrônico 009/2019</t>
  </si>
  <si>
    <t>UP Brasil Policard Systems e Serviços S/A</t>
  </si>
  <si>
    <t>Prestação de serviços de administração, emissão e entrega de cartões eletrônicos para o benefício “Auxílio Alimentação”, nas modalidades auxílio refeição e cesta alimentação, para os empregados da GoiásFomento.</t>
  </si>
  <si>
    <t>2019.12.003050</t>
  </si>
  <si>
    <t>Art. 30, Inc. I, Lei 133.303/16</t>
  </si>
  <si>
    <t xml:space="preserve">Prestação de serviços de manutenção preventiva e corretiva em 2 (dois) elevadores instalados no prédio do Ed. Sede da GoiásFomento. </t>
  </si>
  <si>
    <t>Contrato Original: 19/08/2019</t>
  </si>
  <si>
    <t>2019.12.003529</t>
  </si>
  <si>
    <t>Art. 30, Lei 13.303/16</t>
  </si>
  <si>
    <t>Art. 29, Inc. II, Lei 13.303/16</t>
  </si>
  <si>
    <t>Datajuri Tecnologia em Software Ltda - ME</t>
  </si>
  <si>
    <t xml:space="preserve">Prestação de serviços de programação e hospedagem de um Sistema de Acompanhamento e Controle de Processos Judiciais na GoiásFomento. </t>
  </si>
  <si>
    <t>Contrato Original: 30/08/2019</t>
  </si>
  <si>
    <t>2019.12.002554</t>
  </si>
  <si>
    <t>AOVS Sistemas de Informática S/A</t>
  </si>
  <si>
    <t>Prestação de serviços para treinamento e aperfeiçoamento dos servidores lotados na Gerência de Tecnologia da Informação da GoiásFomento, mediante assinatura anual de 08 (oito) licenças de acesso aos cursos online da Plataforma Alura.</t>
  </si>
  <si>
    <t>Contrato Original: 31/10/2019</t>
  </si>
  <si>
    <t>2019.12.003731</t>
  </si>
  <si>
    <t>Zurich Minas Brasil Seguros S/A</t>
  </si>
  <si>
    <t>Contratação de seguro de vida/acidentes em grupo dos empregados da Agência de Fomento de Goiás S/A.</t>
  </si>
  <si>
    <t>Contrato Original: 19/11/2019</t>
  </si>
  <si>
    <t>2019.12.002095</t>
  </si>
  <si>
    <t>Pregão Eletrônico 010/2019</t>
  </si>
  <si>
    <t>Art. 66, Lei 13.303/16</t>
  </si>
  <si>
    <t>Torino Informática Ltda</t>
  </si>
  <si>
    <t>Pregão Eletrônico SRP 017/2018 SSP/GO</t>
  </si>
  <si>
    <t>Aquisição de 60 computadores HP Elite 705 G3 DM (item 01).</t>
  </si>
  <si>
    <t>Contrato Original: 01/07/2019</t>
  </si>
  <si>
    <t>2019.12.001778</t>
  </si>
  <si>
    <t>Publitek Tecnologia EIRELI</t>
  </si>
  <si>
    <t>Aquisição de 06 (seis) discos rígidos de 450Gb 15K, Hot-Swap para Servidor IBM X3650, para uso da GoiásFomento.</t>
  </si>
  <si>
    <t>Contrato Original: 06/08/2019</t>
  </si>
  <si>
    <t>2019.12.003546</t>
  </si>
  <si>
    <t>Pregão Eletrônico SRP 007/2018</t>
  </si>
  <si>
    <t>Central Móveis para Escritório LTDA</t>
  </si>
  <si>
    <t xml:space="preserve">Aquisição de mobiliários para atender necessidades da GoiásFomento. Vigência do contrato: contado da data de sua assinatura, até o prazo final da garantia do mobiliário, que é de 05 (cinco) anos. </t>
  </si>
  <si>
    <t>Contrato Original: 01/10/2019</t>
  </si>
  <si>
    <t>2019.12.002111</t>
  </si>
  <si>
    <t>Camilla Correia Vecchi Aguiar</t>
  </si>
  <si>
    <t>Prestação de serviços de Leiloeiros Públicos para realização de leilões visando alienar bens móveis e imóveis de propriedade da Agência de Fomento de Goiás S/A.</t>
  </si>
  <si>
    <t>Contrato Original: 10/10/2019</t>
  </si>
  <si>
    <t>Álvaro Fleury Lobo</t>
  </si>
  <si>
    <t>Eduardo Vinícius Fleury Lobo</t>
  </si>
  <si>
    <t>João Alves Barros</t>
  </si>
  <si>
    <t>Alessandra Brasil do Vale</t>
  </si>
  <si>
    <t>Leony Gomes dos Santos Júnior</t>
  </si>
  <si>
    <t>Antônio Brasil II</t>
  </si>
  <si>
    <t>Claide Carvalho Brasil</t>
  </si>
  <si>
    <t>Bráulio Ferreira Neto</t>
  </si>
  <si>
    <t>Márcia Regina Cardellicchio Nunes</t>
  </si>
  <si>
    <t>Em vigor: 1º Termo Aditivo/17/05/2019</t>
  </si>
  <si>
    <t>Em Vigor: 5º Termo Aditivo/ 30/05/2018</t>
  </si>
  <si>
    <t>Em vigor: 3º Termo Aditivo/25/06/2019</t>
  </si>
  <si>
    <t>Em vigor: 1º Termo Aditivo/05/07/2019</t>
  </si>
  <si>
    <t>Em vigor: 3º Termo Aditivo/08/07/2019</t>
  </si>
  <si>
    <t>Em vigor: 2º Termo Aditivo/22/08/2019</t>
  </si>
  <si>
    <t>Em vigor: 3º Termo Aditivo/22/08/2019</t>
  </si>
  <si>
    <t>Em vigor: 3º Termo Aditivo/05/11/2019</t>
  </si>
  <si>
    <t>Em vigor: 1º Termo Aditivo/05/11/2019</t>
  </si>
  <si>
    <t>Em vigor: 2º Termo Aditivo/23/05/2019</t>
  </si>
  <si>
    <t>Acréscimo de mais 01 (um) acesso à linha móvel, com base nos 25% de acréscimo que faculta a Lei, referente ao contrato de prestação de serviços de telefonia móvel pessoal (SMP) e Internet móvel (lote 01 SRP-006/2017), para atender às necessidades da GoiásFomento.</t>
  </si>
  <si>
    <t>Em vigor: 1º Termo Aditivo/05/04/2019</t>
  </si>
  <si>
    <t>Hoffmann Advogados Associados S/S</t>
  </si>
  <si>
    <t>Em Vigor: Aditivo de Renovação/02/10/2018</t>
  </si>
  <si>
    <t>G. T. T. Consultoria e Assessoria</t>
  </si>
  <si>
    <t>C</t>
  </si>
  <si>
    <t>Prestação de serviços de mov e custódia qualificada junto a SELIC e CETIP.</t>
  </si>
  <si>
    <t>EMAIL</t>
  </si>
  <si>
    <t>Rhilston Aspem Acompanhamento de Projetos Empresariais Ltda.</t>
  </si>
  <si>
    <t>Jeiverson Tavares Oliveira 82773254104</t>
  </si>
  <si>
    <t>2018.12.005285</t>
  </si>
  <si>
    <t>Prestação de serviços por parte de sociedades empresárias e empresas que atuam em consultoria e assessoria financeira, contábil e jurídica, inscritas nos respectivos conselhos profissionais em Goiás.</t>
  </si>
  <si>
    <t>Contrato Original: 10/12/2018</t>
  </si>
  <si>
    <t>Contrato Original: 08/10/2018</t>
  </si>
  <si>
    <t>Cavalcante Contabilidade e Assessoria Empresarial Ltda</t>
  </si>
  <si>
    <t>Elizângela de Melo Rodrigues</t>
  </si>
  <si>
    <t>Elizângela Silva Sociedade Individual Advocacia</t>
  </si>
  <si>
    <t>G. T. T. Consultoria e Assessoria Ltda</t>
  </si>
  <si>
    <t>Isac da Silva Souza 03088534157</t>
  </si>
  <si>
    <t>Em vigor: Contrato Original/31/08/2018</t>
  </si>
  <si>
    <t>Logic Empresarial Ltda - ME</t>
  </si>
  <si>
    <t>Sigma Empresarial Ltda</t>
  </si>
  <si>
    <t>Verídica Gestão Contábil SS Ltda-ME</t>
  </si>
  <si>
    <t>2019.12.002077</t>
  </si>
  <si>
    <t>CELG Distribuição S/A - CELG D</t>
  </si>
  <si>
    <t>Fornecimento de energia elétrica em dois prédios de propriedade da Agência de Fomento de Goiás S/A.</t>
  </si>
  <si>
    <t>Contrato Original: 17/02/2020</t>
  </si>
  <si>
    <t>202000059000198</t>
  </si>
  <si>
    <t>202000059000276</t>
  </si>
  <si>
    <t>Taípe Empresa de Participações S/A</t>
  </si>
  <si>
    <t>Contrato Original: 13/05/2020</t>
  </si>
  <si>
    <t>Berlin Finance Meios de Pagamentos EIRELI</t>
  </si>
  <si>
    <t>Contrato Original: 20/05/2020</t>
  </si>
  <si>
    <t>Acesso Soluções de Pagamento S/A</t>
  </si>
  <si>
    <t>Credenciamento para prestação dos serviços de administração, emissão de cartões equipados com tecnologia de chip de segurança e realização  de recargas, na modalidade "pré-pago", com mecanismo de concessão de crédito em forma eletrônica com recargas a partir de créditos concedidos aos beneficiários dos programas de fomento desenvolvidos pela GoiásFomento.</t>
  </si>
  <si>
    <t>202000059000171</t>
  </si>
  <si>
    <t>Gustavo Freitas Arquitetura e Interiores EIRELI</t>
  </si>
  <si>
    <t>Prestação de serviços para elaboração de projeto arquitetônico complementar, básico e executivo, referentes a reforma e construção de áreas prediais específicas do Ed. Sede da GoiásFomento, com seus respectivos projetos complementares.</t>
  </si>
  <si>
    <t>Contrato Original: 04/06/2020</t>
  </si>
  <si>
    <t>2019.12.005177</t>
  </si>
  <si>
    <t>Safetech Consultoria Gestão e Tecnologia EIRELI</t>
  </si>
  <si>
    <t xml:space="preserve">Fornecimento de 180(cento e oitenta) licenças de uso da solução de segurança Smart Protection for Endpoints e respectivos serviços de implementação, configuração e treinamento para uso da GoiásFomento. </t>
  </si>
  <si>
    <t>Contrato Original: 24/03/2020</t>
  </si>
  <si>
    <t>202000059000085</t>
  </si>
  <si>
    <t>Pregão Eletrônico 002/2020</t>
  </si>
  <si>
    <t>Pregão Eletrônico 001/2020</t>
  </si>
  <si>
    <t xml:space="preserve">Contrato para fornecimento de 160 (cento e sessenta) licenças de uso do Microsoft Office 365, sendo 100 (cem) licenças do Office 365 E1 e 60 (sessenta) licenças do Office 365 E3, para uso da GoiasFomento. </t>
  </si>
  <si>
    <t>Contrato Original: 27/04/2020</t>
  </si>
  <si>
    <t>202000059000305</t>
  </si>
  <si>
    <t>Andrey Augusto do Valle Bragalda - 22106904800 (It Solus Tecnologia e Serviços).</t>
  </si>
  <si>
    <t>Fornecimento para a GoiásFomento de 01 (um) servidor LENOVO Thinksystem SR650 SFF Intel Xenon Silver 4114 10C 2.2 GHZ, 32 GB RAM.</t>
  </si>
  <si>
    <t>Contrato Original: 04/05/2020</t>
  </si>
  <si>
    <t>202000059000077</t>
  </si>
  <si>
    <t>Terra Social Consultoria Social e Agronômica Ltda</t>
  </si>
  <si>
    <t>Andréia Vital Lopes-98243365168</t>
  </si>
  <si>
    <t>Rhilston Aspem Assessoria Empresarial Ltda.</t>
  </si>
  <si>
    <t>IMASE-Assessoria e Soluções Empresariais Ltda</t>
  </si>
  <si>
    <t>Alves &amp; Ferreira Assessoria e Consultoria Empresarial Ltda</t>
  </si>
  <si>
    <t>Dayane Pereira de Souza-70424847116</t>
  </si>
  <si>
    <t>Câmara de Dirigentes Lojistas de Bom Jesus</t>
  </si>
  <si>
    <t>Câmara de Dirigentes Lojistas de Iporá</t>
  </si>
  <si>
    <t>Câmara de Dirigentes Lojistas da Cidade de Goiás</t>
  </si>
  <si>
    <t>Associação Comercial e Industrial de Campinorte</t>
  </si>
  <si>
    <t>Josiany Braga Tavares da Câmara-04041423112</t>
  </si>
  <si>
    <t>Ivone Contabilidade e Consultoria Empresarial - EIRELI</t>
  </si>
  <si>
    <t>Associação Comercial e Industrial de Caldas Novas-ACICAN</t>
  </si>
  <si>
    <t>Câmara de Dirigentes Lojistas de Goianésia-CDL</t>
  </si>
  <si>
    <t>Lécia Guimarães Rodrigues-49434705134</t>
  </si>
  <si>
    <t>Prátika Empresarial Consultoria e Assessoria-EIRELI</t>
  </si>
  <si>
    <t>Ônix Contabilidade e Consultoria Empresarial-EIRELI-ME</t>
  </si>
  <si>
    <t>Dinastia Contábil Ltda</t>
  </si>
  <si>
    <t>Ets Contabilidade de Serviços-EIRELI</t>
  </si>
  <si>
    <t>SC Consultoria Empresarial Ltda</t>
  </si>
  <si>
    <t>JM Consultoria Empresarial Ltda</t>
  </si>
  <si>
    <t>Fleury Tecnologia e Serviços EIRELI</t>
  </si>
  <si>
    <t>Valorimex Assessoria e Consultoria Empresarial-EIRELI</t>
  </si>
  <si>
    <t>Alcansys Consultoria Empresarial Ltda</t>
  </si>
  <si>
    <t>Damacena Partiners Consultoria Empresarial-EIRELI</t>
  </si>
  <si>
    <t>Controll Contábeis Ltda-ME</t>
  </si>
  <si>
    <t>Elo Oficina de Projetos, Estudos e Educação Profissional Ltda-ME</t>
  </si>
  <si>
    <t>Associação Comercial, Industrial e Agropecuária de Goiatuba-ACIAG</t>
  </si>
  <si>
    <t>Ronaldo Adriano Marques Queiroz-EIRELI</t>
  </si>
  <si>
    <t>Agregar Negócios Ltda</t>
  </si>
  <si>
    <t>LC Seabra Campos Fraga-EIRELI</t>
  </si>
  <si>
    <t>Serra Consultoria Ltda-ME</t>
  </si>
  <si>
    <t>Liderança Empréstimo Consignado e Consultoria de Negócios Ltda</t>
  </si>
  <si>
    <t>Gislayne da Silva Fagundes-70629508151</t>
  </si>
  <si>
    <t>Rodrigo Ferreira Alves Consultoria Empresarial Ltda</t>
  </si>
  <si>
    <t>Resolute Consultoria e Projetos Ltda-ME</t>
  </si>
  <si>
    <t>Controll Assessoria e Consultoria Empresarial Ltda</t>
  </si>
  <si>
    <t>Rita Generosa da Costa-91689821191</t>
  </si>
  <si>
    <t>Marcial Sebastião Neto-37734342191</t>
  </si>
  <si>
    <t>JD Empreendimentos EIRELI</t>
  </si>
  <si>
    <t>Best Consultoria Ltda</t>
  </si>
  <si>
    <t>Múltipla Assessoria Contábil Ltda</t>
  </si>
  <si>
    <t>LDS Consultoria e Assessoria Empresarial e Serviços EIRELI</t>
  </si>
  <si>
    <t>Laura Bernardino Fernandes Giroldo-00038263173</t>
  </si>
  <si>
    <t>Jorge Augusto Abreu da luz-03579541145</t>
  </si>
  <si>
    <t>Daniel Henrique Nascimento Santos-02608012167</t>
  </si>
  <si>
    <t>RP de Almeida - Proativa Gestão Empresarial Ltda</t>
  </si>
  <si>
    <t>Controller Gestão em Treinamentos e Consultoria Ltda</t>
  </si>
  <si>
    <t>Marta Orozina neres Cardoso-00152637117</t>
  </si>
  <si>
    <t>Prime Gestão Contábil EIRELI</t>
  </si>
  <si>
    <t>SC Solução Empresarial Ltda</t>
  </si>
  <si>
    <t>Associação Comercial, Industrial e Serviços de Rio verde-ACIRV</t>
  </si>
  <si>
    <t>GTT Consultoria e Assessoria Ltda</t>
  </si>
  <si>
    <t>Xavier Macedo Serviços Contábeis EIRELI</t>
  </si>
  <si>
    <t>Busines Brazil Consultoria e Serviços EIRELI-ME</t>
  </si>
  <si>
    <t>Proventus Tributos e Consultoria EIRELI</t>
  </si>
  <si>
    <t>Vector Consultoria e Treinamento Ltda</t>
  </si>
  <si>
    <t>Relathionship Serviços de Marketing Ltda-ME</t>
  </si>
  <si>
    <t>Rhuan Antônio Borges Pereira-03700598165</t>
  </si>
  <si>
    <t>Kelyta Guimarães Santana Nery - Degraus Contabilidade</t>
  </si>
  <si>
    <t>Aline Luiza Leite Silva-01264724160</t>
  </si>
  <si>
    <t>Boa Nova Assessoria Contábil, Empresarial Ltda</t>
  </si>
  <si>
    <t>Ponto Idea Consultoria em Gestão Empresarial e Inovação Ltda-ME</t>
  </si>
  <si>
    <t>Cooperativa de Crédito dos Magistrados, Servidores da Justiça do Estado de Goiás e Empregados da CELG Ltda</t>
  </si>
  <si>
    <t>Contrato Original: 30/04/2020</t>
  </si>
  <si>
    <t>Prestação de serviços de Correspondente junto a
GoiásFomento.</t>
  </si>
  <si>
    <t>Em vigor: 1º Termo Aditivo/03/01/2020</t>
  </si>
  <si>
    <t>Em vigor: 1º Termo Aditivo/10/01/2020</t>
  </si>
  <si>
    <t>Em vigor: 2º Termo Aditivo/19/12/2019</t>
  </si>
  <si>
    <t>Em vigor: 1º Termo Aditivo/03/02/2020</t>
  </si>
  <si>
    <t>N. V. A. Representações e Participações Ltda-EPP (Sênior Solution Consultoria em Informática Ltda)</t>
  </si>
  <si>
    <t>Em vigor: 1º Termo Aditivo/23/01/2020</t>
  </si>
  <si>
    <t>Em vigor: 2º Termo Aditivo/29/01/2020</t>
  </si>
  <si>
    <t>Em vigor: 1º Termo Aditivo/28/01/2020</t>
  </si>
  <si>
    <t>APM de Mendonça Baeta - Superi Telecom ME (FMS de Aguiar Silva - Superi Telecom-ME)</t>
  </si>
  <si>
    <t>Em vigor: 4º Termo Aditivo/14/02/2020</t>
  </si>
  <si>
    <t>UP Brasil Policard Systems e Serviços S/A (UP Brasil - Policard Systems e Serviços S/A</t>
  </si>
  <si>
    <t>Em vigor: 3º Termo Aditivo/04/03/2020</t>
  </si>
  <si>
    <t>Em vigor: 1º Termo Aditivo/20/03/2020</t>
  </si>
  <si>
    <t>Em vigor: 2º Termo Aditivo/20/03/2020</t>
  </si>
  <si>
    <t>2019.12.001571 (202000059000355)</t>
  </si>
  <si>
    <t>Em vigor: 1º Termo Aditivo/19/05/2020</t>
  </si>
  <si>
    <t>Em vigor: 3º Termo Aditivo/22/05/2020</t>
  </si>
  <si>
    <t>Em vigor: 1º Termo Aditivo/10/06/2020</t>
  </si>
  <si>
    <t>Em vigor: 4º Termo Aditivo/24/06/2020</t>
  </si>
  <si>
    <t>Em vigor: 3º Termo Aditivo/20/03/2020</t>
  </si>
  <si>
    <t>2018.12.001686 (202000059000637)</t>
  </si>
  <si>
    <t>Em vigor: 2º Termo Aditivo/06/07/2020</t>
  </si>
  <si>
    <t>2016.12.001429 (202000059000661)</t>
  </si>
  <si>
    <t>Em vigor: 4º Termo Aditivo/16/07/2020</t>
  </si>
  <si>
    <t>Em vigor: 3º Termo Aditivo/27/07/2020</t>
  </si>
  <si>
    <t>Em vigor: 2º Termo Aditivo/15/05/2020</t>
  </si>
  <si>
    <t>Em vigor: 4º Termo Aditivo/04/08/2020</t>
  </si>
  <si>
    <t>Em vigor: 1º Termo Aditivo/20/05/2020</t>
  </si>
  <si>
    <t>Em vigor: 3º Termo Aditivo/24/08/2020</t>
  </si>
  <si>
    <t>Em vigor: 9º Termo Aditivo/02/08/2019 / Termo Aditivo complementar 28/08/2020 (adicionando valor às parcelas dos meses de março a julho/2020)</t>
  </si>
  <si>
    <t>Em vigor: 10º Termo Aditivo/03/08/2020 / Aditivo complementar ref aos meses de março a julho/2020/28/08/2020</t>
  </si>
  <si>
    <t>Contrato Original: 10/06/2020 / Aditivo ao contrato de 25% s/ o valor (R$ 11.250,00)/20/08/2020</t>
  </si>
  <si>
    <t>Em vigor: 1º Termo Aditivo/30/01/2020 / Aditivo Complementar/01/04/2020</t>
  </si>
  <si>
    <t>Em vigor: 4º Termo Aditivo/22/05/2020</t>
  </si>
  <si>
    <t>Em vigor: 4º Termo Aditivo/27/02/2020</t>
  </si>
  <si>
    <t>2015.12.003012</t>
  </si>
  <si>
    <t>2020000559000077</t>
  </si>
  <si>
    <t>Cooperativa de Crédito de Livre Admissão de Rubiataba</t>
  </si>
  <si>
    <t>Carvaho e Cossetin Escritórios Compartilhados Ltda</t>
  </si>
  <si>
    <t>Ass Com Ind e Agropecuária de Uruaçu-ACIAU</t>
  </si>
  <si>
    <t>Contrato Original: 11/05/2020</t>
  </si>
  <si>
    <t>Marcos Vinícius Fernandes Borges-00576978175</t>
  </si>
  <si>
    <t>Associação Comercial, Industrial e Agropecuária de Itaberaí-ACIAPI</t>
  </si>
  <si>
    <t>Tavares Empreendimentos e Locações Eireli</t>
  </si>
  <si>
    <t>Cescont Gestão Contábil Eireli</t>
  </si>
  <si>
    <t>Poliana Ribeiro Soares-96785543134</t>
  </si>
  <si>
    <t>Manoel Machado Filho-49412558104</t>
  </si>
  <si>
    <t>Alex Ferreira Marques-02196075167</t>
  </si>
  <si>
    <t>Soluft Consultoria Eireli</t>
  </si>
  <si>
    <t>Complaice Soluções Contábeis &amp; Auditoria Ltda</t>
  </si>
  <si>
    <t>Assessoria e Consultoria Contábil Eireli</t>
  </si>
  <si>
    <t>Logic Assessoria Empresarial Eireli</t>
  </si>
  <si>
    <t>Murilo Alberto Budaz Rezende-035230171565</t>
  </si>
  <si>
    <t>Morgan Martins da Silva-02483824110</t>
  </si>
  <si>
    <t>JS Consultoria e Projetos S/S Ltda</t>
  </si>
  <si>
    <t>Klaudécio Diogo Ananias da Cruz Felix-38269088803</t>
  </si>
  <si>
    <t>Total Soluções Financeiras Eireli</t>
  </si>
  <si>
    <t>Mônica Pereira Borges de Souza-49960377172</t>
  </si>
  <si>
    <t>Rodrigo Donizete dos Santos-71868631168</t>
  </si>
  <si>
    <t>Janaina de Oliveira-93142161104</t>
  </si>
  <si>
    <t>L&amp;M Contabilidade Consultiva Ltda</t>
  </si>
  <si>
    <t>RM Consultoria Serviços e Vendas Eireli</t>
  </si>
  <si>
    <t>Ângela Maria Ferreira Bento-83122753120</t>
  </si>
  <si>
    <t>Viatri Soluções em Consultorias e Treinamentos Eireli</t>
  </si>
  <si>
    <t>Ana Maria Pedroso da Silva-16099753168</t>
  </si>
  <si>
    <t>Borges Rabelo Consultoria Empresarial Ltda</t>
  </si>
  <si>
    <t>Associação Comercial e Industrial de Ipameri-ACIIPA</t>
  </si>
  <si>
    <t>Câmara de Dirigentes Lojistas de Goiatuba-CDL</t>
  </si>
  <si>
    <t>Teló Assessoria e Consultoria Ltda</t>
  </si>
  <si>
    <t>Supremacia Consultoria Administrativa e Trade Ltda</t>
  </si>
  <si>
    <t>Contabilidade Inhumas Eireli</t>
  </si>
  <si>
    <t>Associação Comercial Agro Industrial de Cristalina-ACAIC</t>
  </si>
  <si>
    <t>Complemento Contabilidade Eireli</t>
  </si>
  <si>
    <t>Associação Comercial e Industrial de Aparecida de Goiânia-ACIAG</t>
  </si>
  <si>
    <t>Contem Contabilidade Empresarial Ltda</t>
  </si>
  <si>
    <t>Sheila Alves de Faria-37728857134</t>
  </si>
  <si>
    <t>Joaquim Alves da Costa Júnior Repres. Com. E Consult. Agricola - ME</t>
  </si>
  <si>
    <t>Al da Silva Assessoria Contábil</t>
  </si>
  <si>
    <t>José Eduardo Barbosa Caponi-02247209106</t>
  </si>
  <si>
    <t>Instituto Master de Consultoria-IMC Ltda</t>
  </si>
  <si>
    <t>B2B Gestão Empresarial Ltda</t>
  </si>
  <si>
    <t>Neila Ferreira de Oliveira-95832548191</t>
  </si>
  <si>
    <t>Associação Comercial e Industrial de Anápolis-ACIA</t>
  </si>
  <si>
    <t>Lana Beatriz de Carvalho-00479466106</t>
  </si>
  <si>
    <t>Associação Comercial e Industrial Serviços e Agronegócios de Luziânia - ACIL</t>
  </si>
  <si>
    <t>Alexandro Martins dos Santos-87728907115</t>
  </si>
  <si>
    <t>Vanguarda Consultoria Ltda</t>
  </si>
  <si>
    <t>Greiciely Ribeiro Barbosa Magno</t>
  </si>
  <si>
    <t>Câmara de Dirigentes Lojistas de Planaltina de Goiás - CDL</t>
  </si>
  <si>
    <t>CIABRA - Financeira de Créditos e Investimentos Brasil Ltda</t>
  </si>
  <si>
    <t>F3 Invest Assessoria Empresarial Jurídico e Tributário Eireli</t>
  </si>
  <si>
    <t>Contrato Original: 27/07/2020</t>
  </si>
  <si>
    <t>Prestação de serviços de copeira, auxiliar de serviços gerais, recepcionista e encarregado de turma, com fornecimento de materiais e equipamentos, todos necessários para a execução dos serviços.</t>
  </si>
  <si>
    <t>202000059000134</t>
  </si>
  <si>
    <t>Pregão Eletrônico 003/2020</t>
  </si>
  <si>
    <t>Contrato Original: 26/08/2020</t>
  </si>
  <si>
    <t>2020000059001122</t>
  </si>
  <si>
    <t>Contrato Original: 08/10/2020</t>
  </si>
  <si>
    <t>Prestação de serviços de transmissão de dados, voz e imagem para acesso ao SISBACEN.</t>
  </si>
  <si>
    <t>Contrato Original: 23/04/2020</t>
  </si>
  <si>
    <t>Campos e Valtuille Advogados Associados S/SCampos e Valtuille Advogados Associados S/SDourado Advogados Associados S/S</t>
  </si>
  <si>
    <t>Telefônica Brasil S/A (VIVO)</t>
  </si>
  <si>
    <t>EMAIL GEREC (ANTIGA GEACO) 21/01/2021</t>
  </si>
  <si>
    <t>Prestação de serviços de diagramação e publicação de matérias oficiais da GoiásFomento no Diário Oficial do Estado de Goiás - DOE</t>
  </si>
  <si>
    <t>GEATE</t>
  </si>
  <si>
    <t>Sindicato das Indústrias Metalúrgicas, Mec. E de Mat Eletr. E Eletrônico de Luziania</t>
  </si>
  <si>
    <r>
      <t xml:space="preserve">6.800,00 </t>
    </r>
    <r>
      <rPr>
        <sz val="10"/>
        <rFont val="Calibri"/>
        <family val="2"/>
      </rPr>
      <t>h</t>
    </r>
  </si>
  <si>
    <r>
      <rPr>
        <b/>
        <i/>
        <sz val="10"/>
        <rFont val="Calibri"/>
        <family val="2"/>
      </rPr>
      <t>SC</t>
    </r>
    <r>
      <rPr>
        <sz val="10"/>
        <rFont val="Calibri"/>
        <family val="2"/>
      </rPr>
      <t xml:space="preserve"> - Sem Custo</t>
    </r>
  </si>
  <si>
    <r>
      <rPr>
        <b/>
        <sz val="10"/>
        <rFont val="Calibri"/>
        <family val="2"/>
      </rPr>
      <t>h</t>
    </r>
    <r>
      <rPr>
        <b/>
        <i/>
        <sz val="10"/>
        <rFont val="Calibri"/>
        <family val="2"/>
      </rPr>
      <t xml:space="preserve"> - </t>
    </r>
    <r>
      <rPr>
        <sz val="10"/>
        <rFont val="Calibri"/>
        <family val="2"/>
      </rPr>
      <t>Contrato com duração quimestral</t>
    </r>
  </si>
  <si>
    <r>
      <rPr>
        <b/>
        <sz val="10"/>
        <rFont val="Calibri"/>
        <family val="2"/>
      </rPr>
      <t>CSM</t>
    </r>
    <r>
      <rPr>
        <sz val="10"/>
        <rFont val="Calibri"/>
        <family val="2"/>
      </rPr>
      <t xml:space="preserve"> - Excesso de Consumo</t>
    </r>
  </si>
  <si>
    <r>
      <rPr>
        <b/>
        <sz val="10"/>
        <rFont val="Calibri"/>
        <family val="2"/>
      </rPr>
      <t>a</t>
    </r>
    <r>
      <rPr>
        <sz val="10"/>
        <rFont val="Calibri"/>
        <family val="2"/>
      </rPr>
      <t xml:space="preserve"> - Contrato com vigência semestral</t>
    </r>
  </si>
  <si>
    <r>
      <rPr>
        <b/>
        <sz val="10"/>
        <rFont val="Calibri"/>
        <family val="2"/>
      </rPr>
      <t>CST</t>
    </r>
    <r>
      <rPr>
        <sz val="10"/>
        <rFont val="Calibri"/>
        <family val="2"/>
      </rPr>
      <t xml:space="preserve"> - Consulta</t>
    </r>
  </si>
  <si>
    <r>
      <rPr>
        <b/>
        <sz val="10"/>
        <rFont val="Calibri"/>
        <family val="2"/>
      </rPr>
      <t>b</t>
    </r>
    <r>
      <rPr>
        <sz val="10"/>
        <rFont val="Calibri"/>
        <family val="2"/>
      </rPr>
      <t xml:space="preserve"> - Contrato com vigência quadrimestral</t>
    </r>
  </si>
  <si>
    <r>
      <rPr>
        <b/>
        <sz val="10"/>
        <rFont val="Calibri"/>
        <family val="2"/>
      </rPr>
      <t>NH</t>
    </r>
    <r>
      <rPr>
        <sz val="10"/>
        <rFont val="Calibri"/>
        <family val="2"/>
      </rPr>
      <t xml:space="preserve"> - Não Há</t>
    </r>
  </si>
  <si>
    <r>
      <rPr>
        <b/>
        <sz val="10"/>
        <rFont val="Calibri"/>
        <family val="2"/>
      </rPr>
      <t>c</t>
    </r>
    <r>
      <rPr>
        <sz val="10"/>
        <rFont val="Calibri"/>
        <family val="2"/>
      </rPr>
      <t xml:space="preserve"> - Contrato com vigência trimestral</t>
    </r>
  </si>
  <si>
    <r>
      <rPr>
        <b/>
        <sz val="10"/>
        <rFont val="Calibri"/>
        <family val="2"/>
      </rPr>
      <t>1</t>
    </r>
    <r>
      <rPr>
        <sz val="10"/>
        <rFont val="Calibri"/>
        <family val="2"/>
      </rPr>
      <t xml:space="preserve"> - ASPRE Sr. Luiz Lucas Alves</t>
    </r>
  </si>
  <si>
    <r>
      <rPr>
        <b/>
        <sz val="10"/>
        <rFont val="Calibri"/>
        <family val="2"/>
      </rPr>
      <t>d</t>
    </r>
    <r>
      <rPr>
        <sz val="10"/>
        <rFont val="Calibri"/>
        <family val="2"/>
      </rPr>
      <t xml:space="preserve"> - Contrato com vigência trienal</t>
    </r>
  </si>
  <si>
    <r>
      <rPr>
        <b/>
        <i/>
        <sz val="10"/>
        <rFont val="Calibri"/>
        <family val="2"/>
      </rPr>
      <t>AUT</t>
    </r>
    <r>
      <rPr>
        <sz val="10"/>
        <rFont val="Calibri"/>
        <family val="2"/>
      </rPr>
      <t xml:space="preserve"> - Prorrogação Automática</t>
    </r>
  </si>
  <si>
    <r>
      <rPr>
        <b/>
        <sz val="10"/>
        <rFont val="Calibri"/>
        <family val="2"/>
      </rPr>
      <t>e</t>
    </r>
    <r>
      <rPr>
        <sz val="10"/>
        <rFont val="Calibri"/>
        <family val="2"/>
      </rPr>
      <t xml:space="preserve"> - Contrato com vigência bimestral</t>
    </r>
  </si>
  <si>
    <r>
      <rPr>
        <b/>
        <sz val="10"/>
        <rFont val="Calibri"/>
        <family val="2"/>
      </rPr>
      <t>f</t>
    </r>
    <r>
      <rPr>
        <sz val="10"/>
        <rFont val="Calibri"/>
        <family val="2"/>
      </rPr>
      <t xml:space="preserve"> - Contrato com vigência de 30 meses</t>
    </r>
  </si>
  <si>
    <r>
      <rPr>
        <b/>
        <i/>
        <sz val="10"/>
        <rFont val="Calibri"/>
        <family val="2"/>
      </rPr>
      <t>*</t>
    </r>
    <r>
      <rPr>
        <sz val="10"/>
        <rFont val="Calibri"/>
        <family val="2"/>
      </rPr>
      <t xml:space="preserve"> - Valor Estimado</t>
    </r>
  </si>
  <si>
    <r>
      <rPr>
        <b/>
        <sz val="10"/>
        <rFont val="Calibri"/>
        <family val="2"/>
      </rPr>
      <t>g</t>
    </r>
    <r>
      <rPr>
        <sz val="10"/>
        <rFont val="Calibri"/>
        <family val="2"/>
      </rPr>
      <t xml:space="preserve"> - Contrato com vigência de 30 dias</t>
    </r>
  </si>
  <si>
    <r>
      <rPr>
        <b/>
        <i/>
        <sz val="10"/>
        <rFont val="Calibri"/>
        <family val="2"/>
      </rPr>
      <t>i -</t>
    </r>
    <r>
      <rPr>
        <sz val="10"/>
        <rFont val="Calibri"/>
        <family val="2"/>
      </rPr>
      <t xml:space="preserve"> Contrato com vigência bienal</t>
    </r>
  </si>
  <si>
    <r>
      <rPr>
        <b/>
        <sz val="10"/>
        <rFont val="Calibri"/>
        <family val="2"/>
      </rPr>
      <t xml:space="preserve">j </t>
    </r>
    <r>
      <rPr>
        <sz val="10"/>
        <rFont val="Calibri"/>
        <family val="2"/>
      </rPr>
      <t>- Valor para um período de 12 meses</t>
    </r>
  </si>
  <si>
    <t>Edital de Credenciamento 001/2020</t>
  </si>
  <si>
    <t>LICITAÇÃO/MODALIDADE E Nº</t>
  </si>
  <si>
    <t>Adesão de Registro de Preços</t>
  </si>
  <si>
    <t>Inexigibilidade de Licitação</t>
  </si>
  <si>
    <t>Dispensa de Licitação</t>
  </si>
  <si>
    <t>Edital de Credenciamento nº 002/2020</t>
  </si>
  <si>
    <t>Edital de Credenciamento nº 001/2020</t>
  </si>
  <si>
    <t>Dispensda de Licitação</t>
  </si>
  <si>
    <t>Edital de Credenciamento nº 001/2018</t>
  </si>
  <si>
    <t>Inexegível</t>
  </si>
  <si>
    <t>Dispensa de Licitação nº 013/2019-CPL</t>
  </si>
  <si>
    <t>2020000590011682</t>
  </si>
  <si>
    <t>TOTAL ARCHIVE DIGITALIZAÇÃO E ASSESSORIA LTDA</t>
  </si>
  <si>
    <t>Prestação de serviços com fornecimento de solução e gestão arquivística, incluindo a coleta, transporte e guarda provisória do acervo de documentos remanescentes da Caixa Econômica do Estado de Goiás-Caixego e do Banco de Desenvolvimento do Estado de Goiás-BD-Goiás. Vigência: 90 (noventa) dias, contados da assinatura do contrato</t>
  </si>
  <si>
    <t>Contrato Original: 13/01/2021</t>
  </si>
  <si>
    <t>04.481.186/0001-61</t>
  </si>
  <si>
    <t>PE Nº 005/2020</t>
  </si>
  <si>
    <t>GOIÁS CENTRAL ENGENHARIA, TOPOGRAFIA, DISTRIBUIÇÃO E COMÉRCIO EIRELI</t>
  </si>
  <si>
    <t>Prestação de serviços topográficos, de medições de campo, levantamentos cartoriais, demarcação física, abertura de picadas quando necessário for para implantação dos marcos, utilização de sensoriamento remoto, confecção de memorial descritivo e planta da propriedade rural, planilha de dados Georrefenciados e CAR do imóvel rural “Fazenda São Domingos, denominada “Serra Negra”, localizada no município de Piranhas-GO</t>
  </si>
  <si>
    <t>Contrato Original: 15/01/2021</t>
  </si>
  <si>
    <t>22.210.015/0001-17</t>
  </si>
  <si>
    <t>202000059001268</t>
  </si>
  <si>
    <t>202000059001462</t>
  </si>
  <si>
    <t>CREDMOBI TECNOLOGIA EM FINANÇAS LTDA</t>
  </si>
  <si>
    <t>Prestação de serviços de desenvolvimento e licenciamento de uso de software para atender demanda da Gerencia de Atendimento da GoiásFomento</t>
  </si>
  <si>
    <t>Contrato Original: 24/02/2021</t>
  </si>
  <si>
    <t>32.654.522/0001-01</t>
  </si>
  <si>
    <t>CS BRASIL FROTAS LTDA</t>
  </si>
  <si>
    <t>Prestação dos serviços de locação de 05 (cinco) veículos automotores com fornecimento de equipamentos de monitoramento em tempo real (rastreador), manutenção, limpeza, seguro e quilometragem livre.</t>
  </si>
  <si>
    <t>Contrato Original: 05/03/2021</t>
  </si>
  <si>
    <t>27.595.780/0001-16</t>
  </si>
  <si>
    <t>PE Nº 001/2021</t>
  </si>
  <si>
    <t>ECCO MANUTENÇÃO E INSTALAÇÃO ELÉTRICA E AR CONDICIONADO LTDA.</t>
  </si>
  <si>
    <t>Prestação de serviços de manutenção preventiva e corretiva em aparelhos de ar condicionado Split, central de ar, com fornecimento de mão de obra e manutenção geral, correção nas redes de energia elétrica, malha luminária e tomadas, rede lógica e telefônica e rede hidro sanitária, a serem prestados em 02 (dois) prédios da GoiásFomento</t>
  </si>
  <si>
    <t>Contrato Original: 15/03/2022</t>
  </si>
  <si>
    <t xml:space="preserve">Inexigbilidade de Licitação </t>
  </si>
  <si>
    <t>Prestação de serviços de suporte técnico e manutenção da licença de uso do Software Totvs Folha (RM Labore) – Mudança de Faixa. Vigência: 12 (doze) meses, contados da assinatura do contrato.</t>
  </si>
  <si>
    <t>Contrato Original: 04/05/2021</t>
  </si>
  <si>
    <t>53.113.791/0001-22</t>
  </si>
  <si>
    <t>Prestação de serviços de telefonia SMP (Serviço Móvel Pessoal) com fornecimento de 6 (seis) linhas de voz e 5 (cinco) linhas de dados de acesso móvel pós-pago, para uso dos servidores da GoiásFomento</t>
  </si>
  <si>
    <t>Contrato original: 29/04/2021</t>
  </si>
  <si>
    <t>02.558.157/0001-62</t>
  </si>
  <si>
    <t>SUPERI TELECOM LTDA</t>
  </si>
  <si>
    <t>Contrato de prestação de serviços para instalação de um Link de Internet IP (Internet Protocolo) de no mínimo 100 Mbps, para comunicação de dados ponto-aponto e de acesso dedicado à internet em alta disponibilidade</t>
  </si>
  <si>
    <t>Contrato Original: 05/05/2021</t>
  </si>
  <si>
    <t>10.455.507/0001-93</t>
  </si>
  <si>
    <t>Prestação de serviços advocatícios para elaboração de defesa em segunda instância, no Processo Administrativo Nº 10120.728196/2014-00, em trâmite perante a Receita Federal do Brasil. Vigência: Contado a partir da assinatura do contrato, e seu vencimento se dará com .o encerramento do processo administrativo no Conselho Administrativo de Recursos Fiscais – CARF</t>
  </si>
  <si>
    <t>50.000,00 (cinquenta mil reais), além de 2,5% (dois vírgula cinco por cento) do valor experimentado pela redução da penalidade aplicada, que é de R$4.237.031,48 (quatro milhões, duzentos e trinta e sete mil, trinta e um reais e quarenta e oito centavos)</t>
  </si>
  <si>
    <t>Contrato Original: 21/05/2021</t>
  </si>
  <si>
    <t>41.713.430/0001-38</t>
  </si>
  <si>
    <t>PE Nº 002/2021</t>
  </si>
  <si>
    <t>HS COMÉRCIO, LOCAÇÕA E MANUTENÇÃO DE EQUIPAMENTOS DE INFORMÁTICA LTDA - EPP</t>
  </si>
  <si>
    <t>Aquisição de 30 (trinta) Microcomputadores marca Lenovo, para atender necessidades da GoiásFomento.</t>
  </si>
  <si>
    <t>Rescindido</t>
  </si>
  <si>
    <t>24.802.687/0001-47</t>
  </si>
  <si>
    <t xml:space="preserve"> Contrato Original: 08/03/2021</t>
  </si>
  <si>
    <t>BRASIL INFORMÁTICA E PRODUTOS EIRELI</t>
  </si>
  <si>
    <t>Aquisição de 20 (vinte) monitores</t>
  </si>
  <si>
    <t>48 meses contado de 08 de 08/03/2021</t>
  </si>
  <si>
    <t>Contrato Original: 08/03/2021</t>
  </si>
  <si>
    <t>03.618.435/0001-92</t>
  </si>
  <si>
    <t>PE Nº 004/2021</t>
  </si>
  <si>
    <t>FACILLITDA SOLUÇÕES CORPORATIVAS LTDA</t>
  </si>
  <si>
    <t>Aquisição de diversos mobiliários corporativos para atender necessidades da GoiásFomento</t>
  </si>
  <si>
    <t>60 meses contados de 15/04/2021</t>
  </si>
  <si>
    <t>32.126.893/0001-02</t>
  </si>
  <si>
    <t>H.G.C. TAVEIRA COMÉRCIO DE MÓVEIS</t>
  </si>
  <si>
    <t>05.258.798/0001-90</t>
  </si>
  <si>
    <t>Contrato Original: 15/04/2021</t>
  </si>
  <si>
    <t>PE Nº 003/2021</t>
  </si>
  <si>
    <t>TERRA FORTE CONTROLE DE PRAGAS EIRELI</t>
  </si>
  <si>
    <t>Prestação de serviços de sanitização e desinfecção dos ambientes internos do Ed. Sede da Agência de Fomento de Goiás S/A. Vigência do contrato: será contado da data de sua assinatura até o final da última aplicação dos produtos nas instalações da GoiásFomento</t>
  </si>
  <si>
    <t>Contrato Original: 31/05/2021</t>
  </si>
  <si>
    <t>08.264.064/0001-01</t>
  </si>
  <si>
    <t>GUSTAVO REQUI SOCIEDADE INDIVIDUAL DE ADVOCACIA</t>
  </si>
  <si>
    <t>DIGINOTAS DOCUMENTOS ELETRONICOS EIRELI - EPP</t>
  </si>
  <si>
    <t>Contrato de prestação de serviços de digitação de cadastro financeiro das propostas de financiamento das linhas de crédito do PEAME – Programa Estadual de Apoio ao Microempreendedor</t>
  </si>
  <si>
    <t>Contrato Original: 27/05/2021</t>
  </si>
  <si>
    <t>05.391.130/0001-16</t>
  </si>
  <si>
    <t>Edital de Credenciamento nº 002/2021</t>
  </si>
  <si>
    <t>ALESSANDRA BRASIL DO VALE</t>
  </si>
  <si>
    <t>Credenciamento de Leiloeiro Público Oficial devidamente registrado na JUCEG sob o nº 030/2002, para realização de Leilões visando alienar bens móveis (mobiliário, veículos) e imóveis (urbanos e rurais) de propriedade da Agência de Fomento de Goiás S/A, não destinados a uso próprio, fornecendo no prazo estabelecido em Lei as prestações de contas e o relatório final, pelo período de 30 (trinta) meses.</t>
  </si>
  <si>
    <t>532.410.611-91</t>
  </si>
  <si>
    <t>Contrato Original: 27/04/2021</t>
  </si>
  <si>
    <t>ÁLVARO SÉRGIO FUZO</t>
  </si>
  <si>
    <r>
      <t>Credenciamento de Leiloeiro Público Oficial devidamente registrado na JUCEG sob o nº 030/2002, para realização de Leilões visando alienar bens móveis (mobiliário</t>
    </r>
    <r>
      <rPr>
        <i/>
        <sz val="11"/>
        <rFont val="Arial"/>
        <family val="2"/>
      </rPr>
      <t xml:space="preserve">, </t>
    </r>
    <r>
      <rPr>
        <sz val="11"/>
        <rFont val="Arial"/>
        <family val="2"/>
      </rPr>
      <t>veículos) e imóveis (urbanos e rurais) de propriedade da Agência de Fomento de Goiás S/A, não destinados a uso próprio, fornecendo no prazo estabelecido em Lei as prestações de contas e o relatório final, pelo período de 30 (trinta) meses.</t>
    </r>
  </si>
  <si>
    <t>162.127.032-72</t>
  </si>
  <si>
    <t>ANTONIO BRASIL II</t>
  </si>
  <si>
    <t>BRÁULIO FERREIRA NETO</t>
  </si>
  <si>
    <t>122.057.701-44</t>
  </si>
  <si>
    <t>CAMILLA CORREIA VECCHI AGUIAR</t>
  </si>
  <si>
    <t>570.595.271-68</t>
  </si>
  <si>
    <t>EDUARDO VINÍCIUS FLEURY LOBO</t>
  </si>
  <si>
    <t>845.430.43l-20</t>
  </si>
  <si>
    <t>ELINECI LIRA SALES DE SOUSA</t>
  </si>
  <si>
    <t>008.062.401-28</t>
  </si>
  <si>
    <t>FELIPE GUIMARAES CARRIJO</t>
  </si>
  <si>
    <t>820.864.271-15</t>
  </si>
  <si>
    <t>FERNANDO CAETANO MOREIRA FILHO</t>
  </si>
  <si>
    <t>039.167.186-30</t>
  </si>
  <si>
    <t>JOÃO ALVES BARROS</t>
  </si>
  <si>
    <t>052.040.461-00</t>
  </si>
  <si>
    <t>JONAS GABRIEL ANTUNES MOREIRA</t>
  </si>
  <si>
    <t>LEONY GOMES DOS SANTOS</t>
  </si>
  <si>
    <t>065.132.226-05</t>
  </si>
  <si>
    <t>288.168.931-15</t>
  </si>
  <si>
    <t>LUCAS RAFAEL ANTUNES MOREIRA</t>
  </si>
  <si>
    <t>014.721.886-16</t>
  </si>
  <si>
    <t>MAIK NUNES DE OLIVEIRA</t>
  </si>
  <si>
    <t>010.267.141-92</t>
  </si>
  <si>
    <t>MÁRCIA REGINA CARDELLICCHIO NUNES</t>
  </si>
  <si>
    <t>899.105.401-34</t>
  </si>
  <si>
    <t>ORLANDO ARAÚJO DOS SANTOS</t>
  </si>
  <si>
    <t>964.924.497-20</t>
  </si>
  <si>
    <t>RODRIGO SCHMITZ</t>
  </si>
  <si>
    <t>720.840.810-68</t>
  </si>
  <si>
    <t>ROSSANA PAIVA BORGES DE OLIVEIRA</t>
  </si>
  <si>
    <t>633.433.391-72</t>
  </si>
  <si>
    <t>RUDIVAL ALMEIDA GOMES JÚNIOR</t>
  </si>
  <si>
    <t>606.650.765-68</t>
  </si>
  <si>
    <t>SÉRGIO FLEURY BATISTA</t>
  </si>
  <si>
    <t>796.474.641-34</t>
  </si>
  <si>
    <t>YGOR FERREIRA BRASIL</t>
  </si>
  <si>
    <t>027.551.261-40</t>
  </si>
  <si>
    <t>5% DE COMISSÃO</t>
  </si>
  <si>
    <t>Edital de Credenciamento nº 001/2021</t>
  </si>
  <si>
    <t>DANIELA MARQUES GOMES</t>
  </si>
  <si>
    <t>Credenciamento de Corretor(a) de Imóvel, por um período de 30 (trinta) meses, para prestação de serviços de intermediação de venda de imóveis não de uso próprio da GOIÁSFOMENTO, nas modalidades Venda Direta, Venda Online, de acordo com os critérios , termos e condições estabelecidas no Edital e seus Anexos.</t>
  </si>
  <si>
    <t>Contrato Original: 08/06/2021</t>
  </si>
  <si>
    <t>788.381.371-53</t>
  </si>
  <si>
    <t>EUBSON MIRANDA MONTEIRO</t>
  </si>
  <si>
    <t>800.541.961-91</t>
  </si>
  <si>
    <t>JÚLIO CÉSAR RODRIGUES DA CRUZ</t>
  </si>
  <si>
    <t>5%  DE COMISSÃO</t>
  </si>
  <si>
    <t>001.359.611-06</t>
  </si>
  <si>
    <t>JUSCELMA PROFETA DE CARVALHO</t>
  </si>
  <si>
    <t>016.772.611-02</t>
  </si>
  <si>
    <t>IVAN GARCIA PIRES</t>
  </si>
  <si>
    <t>Contato Original: 08/06/2021</t>
  </si>
  <si>
    <t>776.323.386-91</t>
  </si>
  <si>
    <t>PAULO VICTOR  ALVARENGA TAVARES</t>
  </si>
  <si>
    <t>692.863.701-30</t>
  </si>
  <si>
    <t>LUCIANA DE MENDONÇA</t>
  </si>
  <si>
    <t>780.546.051-53</t>
  </si>
  <si>
    <t>JOÃO VICTOR NONATO SALES</t>
  </si>
  <si>
    <t>395.655.958-47</t>
  </si>
  <si>
    <t>FÁBIO JÚNIOR JORGE DA SILVA</t>
  </si>
  <si>
    <t>Contrato Original:  08/06/2021</t>
  </si>
  <si>
    <t>016.277.531-84</t>
  </si>
  <si>
    <t>GERALDO AUGUSTO ALVES ROSA</t>
  </si>
  <si>
    <t>022.377.111-27</t>
  </si>
  <si>
    <t>UELITON GOMES DA SILVA</t>
  </si>
  <si>
    <t>584.038.681-20</t>
  </si>
  <si>
    <t>AUGUSTO CARVALHO FRANCO NETO</t>
  </si>
  <si>
    <t>310.825.211-91</t>
  </si>
  <si>
    <t>SONIA APARCIDA DO COUTO</t>
  </si>
  <si>
    <t>211.486.431-68</t>
  </si>
  <si>
    <t>RUBENS DE SOUZA - O JARAGUENSE - ME</t>
  </si>
  <si>
    <t>644.189.951-53</t>
  </si>
  <si>
    <t>RAIMUNDO BRAZ MANZI</t>
  </si>
  <si>
    <t>049.755.961-72</t>
  </si>
  <si>
    <t>ONIX NEGÓCIOS E EMPREENDIMENTOS IMOBILIÁRIOS LTDA</t>
  </si>
  <si>
    <t>613.325.501-34</t>
  </si>
  <si>
    <t>REGINALDO BATISTA DE MEDEIROS</t>
  </si>
  <si>
    <t>321.016.351-00</t>
  </si>
  <si>
    <t>LEOMAR ELIAS TERRA</t>
  </si>
  <si>
    <t>024.998.941-72</t>
  </si>
  <si>
    <t>RIVAEL DE PAULA BUENO</t>
  </si>
  <si>
    <t>758.559.101-78</t>
  </si>
  <si>
    <t>08/06//2021</t>
  </si>
  <si>
    <t>JORLLAND IMÓVEIS EMPREENDIMENTOS IMOBILIÁRIOS</t>
  </si>
  <si>
    <t>09.332.448/00001-87</t>
  </si>
  <si>
    <t>GLEYDIANE BARBOSA BANDO</t>
  </si>
  <si>
    <t>07/06//2024</t>
  </si>
  <si>
    <t>013.966.521-83</t>
  </si>
  <si>
    <t>JONAS RODRIGUES MARTINS</t>
  </si>
  <si>
    <t>990.985.981-53</t>
  </si>
  <si>
    <t>WAGNER GOMES PINTO</t>
  </si>
  <si>
    <t>440.954.571-04</t>
  </si>
  <si>
    <t>Credenciamento de Corretor(a) de Imóvel, por um período de 30 (trinta) meses, para prestação de serviços de intermediação de venda de imóveis não de uso D241:D262próprio da GOIÁSFOMENTO, nas modalidades Venda Direta, Venda Online, de acordo com os critérios , termos e condições estabelecidas no Edital e seus Anexos.</t>
  </si>
  <si>
    <t>Adesão Ata de Registro de Preços</t>
  </si>
  <si>
    <t>Edital Credenciamento nº 000/2020</t>
  </si>
  <si>
    <t>Edital e Credenciamento nº 000/2020</t>
  </si>
  <si>
    <t>Edital Consultoria Credenciamento nº 000/2020</t>
  </si>
  <si>
    <t>Edital Educação Credenciamento nº 000/2020</t>
  </si>
  <si>
    <t>Edital odrigues Mota Credenciamento nº 000/2020</t>
  </si>
  <si>
    <t>Edital Gestão Credenciamento nº 000/2020</t>
  </si>
  <si>
    <t>Edital Antônio Credenciamento nº 000/2020</t>
  </si>
  <si>
    <t>Edital - Credenciamento nº 000/2020</t>
  </si>
  <si>
    <t>Edital onsult. Agricola Credenciamento nº 000/2020</t>
  </si>
  <si>
    <t>Edital de Credenciamento nº 001/2019</t>
  </si>
  <si>
    <t>Edital dEdital de credenciamento 001/2018</t>
  </si>
  <si>
    <t>EditEdital de credenciamento 001/2018</t>
  </si>
  <si>
    <t>Edital e Credenciamento nº 001/2020</t>
  </si>
  <si>
    <t>Edital AssEdital e Credenciamento nº 001/2020</t>
  </si>
  <si>
    <t>Edital Consultoria Credenciamento nº 001/2020</t>
  </si>
  <si>
    <t>Edital Credenciamento nº 001/2020</t>
  </si>
  <si>
    <t>Edital de Niquelândia Credenciamento nº 001/2020</t>
  </si>
  <si>
    <t>Edital Investimentos Credenciamento nº 001/2020</t>
  </si>
  <si>
    <t>Edital de Goiás Credenciamento nº 001/2020</t>
  </si>
  <si>
    <t>Edital Ribeiro Credenciamento nº 001/2020</t>
  </si>
  <si>
    <t>Edital Serviços Credenciamento nº 001/2020</t>
  </si>
  <si>
    <t>Edital de Luziânia Credenciamento nº 001/2020</t>
  </si>
  <si>
    <t>Edital Gestão Credenciamento nº 001/2020</t>
  </si>
  <si>
    <t>Edital Eduardo Credenciamento nº 001/2020</t>
  </si>
  <si>
    <t>Edital Silva Credenciamento nº 001/2020</t>
  </si>
  <si>
    <t>Edital Contabilidade Credenciamento nº 001/2020</t>
  </si>
  <si>
    <t>Edital Maria Credenciamento nº 001/2020</t>
  </si>
  <si>
    <t>Edital Soluções Credenciamento nº 001/2020</t>
  </si>
  <si>
    <t>Edital da Credenciamento nº 001/2020</t>
  </si>
  <si>
    <t>Edital rojetos Credenciamento nº 001/2020</t>
  </si>
  <si>
    <t>Edital de Posse Credenciamento nº 001/2020</t>
  </si>
  <si>
    <t>Edital Assessoria Credenciamento nº 001/2020</t>
  </si>
  <si>
    <t>Edital onsultoria Empresarial Credenciamento nº 001/2020</t>
  </si>
  <si>
    <t>Edital Partiners Credenciamento nº 001/2020</t>
  </si>
  <si>
    <t>Edital Projetos Credenciamento nº 001/2020</t>
  </si>
  <si>
    <t>Edital Adriano Credenciamento nº 001/2020</t>
  </si>
  <si>
    <t>Editl de Credenciamento nº 001/2020</t>
  </si>
  <si>
    <t>Edital de Quirinópolis Credenciamento nº 001/2020</t>
  </si>
  <si>
    <t>Edital Bernardino Credenciamento nº 001/2020</t>
  </si>
  <si>
    <t>Edital Henrique Credenciamento nº 001/2020</t>
  </si>
  <si>
    <t>Edital de  Credenciamento nº 001/2020</t>
  </si>
  <si>
    <t>Edital erviços Credenciamento nº 001/2020</t>
  </si>
  <si>
    <t>Edital Luiza Credenciamento nº 001/2020</t>
  </si>
  <si>
    <t>Edital Contábil, Credenciamento nº 001/2020</t>
  </si>
  <si>
    <t>GILMAR MACHADO DE SOUZA</t>
  </si>
  <si>
    <t>124.379.211-68</t>
  </si>
  <si>
    <t>20.246.451/0001-10</t>
  </si>
  <si>
    <t>20.246.451/0001.10</t>
  </si>
  <si>
    <t>07.797.967/0001-95</t>
  </si>
  <si>
    <t>04.585.866/0001-62</t>
  </si>
  <si>
    <t>26.709.113/0001-54</t>
  </si>
  <si>
    <t>37.867.520/0001-06</t>
  </si>
  <si>
    <t>17.552.315/0001-00</t>
  </si>
  <si>
    <t>08.609.805/0001-49</t>
  </si>
  <si>
    <t>01.919.316/0001-78</t>
  </si>
  <si>
    <t>00.360.305/0001-04</t>
  </si>
  <si>
    <t>07.194.751/0001-35</t>
  </si>
  <si>
    <t>19.864.721/0001-78</t>
  </si>
  <si>
    <t>00.360.305/0001.04</t>
  </si>
  <si>
    <t>04.701.639/0001-55</t>
  </si>
  <si>
    <t>28.375.821/0001-21</t>
  </si>
  <si>
    <t>01.207.512/0001-96</t>
  </si>
  <si>
    <t>08.503.577/0001-28</t>
  </si>
  <si>
    <t>21.807.000/0001-78</t>
  </si>
  <si>
    <t>30.873.077/0001-37</t>
  </si>
  <si>
    <t>11.552.249/0001-26</t>
  </si>
  <si>
    <t>30.756.927/0001-17</t>
  </si>
  <si>
    <t>04.838.004/0001-02</t>
  </si>
  <si>
    <t>19.611.832/0001-72</t>
  </si>
  <si>
    <t>11.523.125/0001-12</t>
  </si>
  <si>
    <t>11.254.307/0001-35</t>
  </si>
  <si>
    <t>03.520.902/0001-47</t>
  </si>
  <si>
    <t>31.804.987/0001-20</t>
  </si>
  <si>
    <t>34.028.316/0001-03</t>
  </si>
  <si>
    <t>01.819.149/0001-60</t>
  </si>
  <si>
    <t>16.880.052/0001-30</t>
  </si>
  <si>
    <t>00.028.986/0001-08</t>
  </si>
  <si>
    <t>02.993.180/0003-47</t>
  </si>
  <si>
    <t>05.555.382/0001-33</t>
  </si>
  <si>
    <t>17.197.385/0001-21</t>
  </si>
  <si>
    <t>03.619.767/0001-91</t>
  </si>
  <si>
    <t>28.055.727/0001-95</t>
  </si>
  <si>
    <t>09.211.711/0001-80</t>
  </si>
  <si>
    <t>26.219.969/0001-41</t>
  </si>
  <si>
    <t>16.814.330/0001-50</t>
  </si>
  <si>
    <t>13.140.088/0001-99</t>
  </si>
  <si>
    <t>35.068.213/0001-30</t>
  </si>
  <si>
    <t>07.333.111/0001-30</t>
  </si>
  <si>
    <t>07.149.030/0001-03</t>
  </si>
  <si>
    <t>10.451.871/0001-85</t>
  </si>
  <si>
    <t>35.037.815/0001-20</t>
  </si>
  <si>
    <t>13.149.944/0001-77</t>
  </si>
  <si>
    <t>26.865.102/0001-63</t>
  </si>
  <si>
    <t>08.626.892/0001-42</t>
  </si>
  <si>
    <t>35.470.499/0001-85</t>
  </si>
  <si>
    <t>36.464.366/0001-69</t>
  </si>
  <si>
    <t>26.923.425/0001-66</t>
  </si>
  <si>
    <t>02.256.717/0001-24</t>
  </si>
  <si>
    <t>33.329.962/0001-48</t>
  </si>
  <si>
    <t>24.850.059/0001-37</t>
  </si>
  <si>
    <t>36.440.315/0001-05</t>
  </si>
  <si>
    <t>30.578.307/0001-35</t>
  </si>
  <si>
    <t>00.079.012/001-53</t>
  </si>
  <si>
    <t>00.293.431/0001-93</t>
  </si>
  <si>
    <t>00.045.294/0001-78</t>
  </si>
  <si>
    <t>06.708.947/0001-38</t>
  </si>
  <si>
    <t>21.737.113/0001-44</t>
  </si>
  <si>
    <t>14.844.182/0001-91</t>
  </si>
  <si>
    <t>36.255.254/0001-06</t>
  </si>
  <si>
    <t>21.634.918/0001-62</t>
  </si>
  <si>
    <t>07.3111.078/0001-76</t>
  </si>
  <si>
    <t>33.470.708/0001-65</t>
  </si>
  <si>
    <t>07.749.389/0001-11</t>
  </si>
  <si>
    <t>02.667.091/0001-49</t>
  </si>
  <si>
    <t>32.971.770/0001-78</t>
  </si>
  <si>
    <t>07.774.039/0001-05</t>
  </si>
  <si>
    <t>09.483.988/0001-61</t>
  </si>
  <si>
    <t>03.173.685/0001-66</t>
  </si>
  <si>
    <t>13.569.794/0001-50</t>
  </si>
  <si>
    <t>05.361.461/0001-03</t>
  </si>
  <si>
    <t>31.528.063/0001-49</t>
  </si>
  <si>
    <t>24.622.125/0001-11</t>
  </si>
  <si>
    <t>18.203.236/0001-90</t>
  </si>
  <si>
    <t>11.528.944/0001-52</t>
  </si>
  <si>
    <t>36.417.008/0001-03</t>
  </si>
  <si>
    <t>36.592.972/0001-60</t>
  </si>
  <si>
    <t>31.623.379/0001-10</t>
  </si>
  <si>
    <t>01.670.868/0001-61</t>
  </si>
  <si>
    <t>07.637.595/0001-30</t>
  </si>
  <si>
    <t>36.557.380/0001-07</t>
  </si>
  <si>
    <t>36.721.303/0001-40</t>
  </si>
  <si>
    <t>35.459.863/0001-06</t>
  </si>
  <si>
    <t>08.003.219/0001-56</t>
  </si>
  <si>
    <t>14.732.464/0001-05</t>
  </si>
  <si>
    <t>10.429.378/0001-69</t>
  </si>
  <si>
    <t>36.683.983/0001-55</t>
  </si>
  <si>
    <t>30.632.581/0001-45</t>
  </si>
  <si>
    <t>30.230.671/0001-90</t>
  </si>
  <si>
    <t>35.965.134/0001-21</t>
  </si>
  <si>
    <t>12.378.017/0001-66</t>
  </si>
  <si>
    <t>36.588.162/0001-30</t>
  </si>
  <si>
    <t>17.330.843/0001-59</t>
  </si>
  <si>
    <t>36.556.424/0001-84</t>
  </si>
  <si>
    <t>01.670.983/0001-36</t>
  </si>
  <si>
    <t>10.602.284/0001-40</t>
  </si>
  <si>
    <t>20.230.821-0001-21</t>
  </si>
  <si>
    <t>07.846.351/0001-67</t>
  </si>
  <si>
    <t>30.706.694-0001-48</t>
  </si>
  <si>
    <t>06.272.196-0001-50</t>
  </si>
  <si>
    <t>07.730.148/0001-20</t>
  </si>
  <si>
    <t>35.400.163/0001-46</t>
  </si>
  <si>
    <t>29.751.379/0001-53</t>
  </si>
  <si>
    <t>36.806.871/0001-44</t>
  </si>
  <si>
    <t>20.494.758/0001-30</t>
  </si>
  <si>
    <t>14.238.126-0001-03</t>
  </si>
  <si>
    <t>73.422.792/0001-66</t>
  </si>
  <si>
    <t>30.450.978/0001-16</t>
  </si>
  <si>
    <t>00.145.979/0001-96</t>
  </si>
  <si>
    <t>21.187.879/0001-00</t>
  </si>
  <si>
    <t>06.560.730/0001-23</t>
  </si>
  <si>
    <t>11.089.147-0001-16</t>
  </si>
  <si>
    <t>00.105.594/0001-06</t>
  </si>
  <si>
    <t>31.196.287/0001-09</t>
  </si>
  <si>
    <t>35.517.664/0001-11</t>
  </si>
  <si>
    <t>28.573.881/0001-59</t>
  </si>
  <si>
    <t>36.934.951/0001-85</t>
  </si>
  <si>
    <t>21.669.912/0001-20</t>
  </si>
  <si>
    <t>22.469.553/0001-20</t>
  </si>
  <si>
    <t>34.683.804/0001-54</t>
  </si>
  <si>
    <t>12.043.761/0001-00</t>
  </si>
  <si>
    <t>30.934.568/0001-40</t>
  </si>
  <si>
    <t>08.277.742/0001-70</t>
  </si>
  <si>
    <t>37.595.485/0001-13</t>
  </si>
  <si>
    <t>36.973.945/0001-37</t>
  </si>
  <si>
    <t>26.277.036/0001-00</t>
  </si>
  <si>
    <t>24.496.517-0001-81</t>
  </si>
  <si>
    <t>36.817.360/0001-28</t>
  </si>
  <si>
    <t>37.013.382/0001-06</t>
  </si>
  <si>
    <t>11.702.210/0001-00</t>
  </si>
  <si>
    <t>36.881.786/0001-40</t>
  </si>
  <si>
    <t>14.261.320/0001-00</t>
  </si>
  <si>
    <t>36.886.036/0001-08</t>
  </si>
  <si>
    <t>05.669.688/0001-00</t>
  </si>
  <si>
    <t>01.156.488/0001-03</t>
  </si>
  <si>
    <t>00.027.995/0001-84</t>
  </si>
  <si>
    <t>37.082.355/0001-87</t>
  </si>
  <si>
    <t>07.802.213/0001-86</t>
  </si>
  <si>
    <t>04.682.948/0001-25</t>
  </si>
  <si>
    <t>25.053.893/0001-64</t>
  </si>
  <si>
    <t>10.984.618/0001-97</t>
  </si>
  <si>
    <t>01.682.442/0001-28</t>
  </si>
  <si>
    <t>01.758.564/0001-50</t>
  </si>
  <si>
    <t>37.104.918/0001-90</t>
  </si>
  <si>
    <t>37.233.960/0001-01</t>
  </si>
  <si>
    <t>28.860.093/0001-43</t>
  </si>
  <si>
    <t>34.212.219/0001-76</t>
  </si>
  <si>
    <t>26.092.928/0001-37</t>
  </si>
  <si>
    <t>21.762.062/0001-00</t>
  </si>
  <si>
    <t>30.285.037/0001-74</t>
  </si>
  <si>
    <t>37.171.417/0001-27</t>
  </si>
  <si>
    <t>01.058.270/0001-16</t>
  </si>
  <si>
    <t>29.842.485/0001-42</t>
  </si>
  <si>
    <t>37.388.489/0001-20</t>
  </si>
  <si>
    <t>10.678.073/0001-90</t>
  </si>
  <si>
    <t>17.574.660/0001-89</t>
  </si>
  <si>
    <t>36.411.782/0001-07</t>
  </si>
  <si>
    <t>01.615.301/0001-92</t>
  </si>
  <si>
    <t>06.073.493/0001-76</t>
  </si>
  <si>
    <t>13.045.3'7/0001-32</t>
  </si>
  <si>
    <t>33.332.115/0001-32</t>
  </si>
  <si>
    <t>27.789.086/0001-30</t>
  </si>
  <si>
    <t>02.570.018/0001-54</t>
  </si>
  <si>
    <t>20.747.906/0001-81</t>
  </si>
  <si>
    <t xml:space="preserve">       03.038.151/0001-27</t>
  </si>
  <si>
    <t xml:space="preserve">10.561.284/0001-49
</t>
  </si>
  <si>
    <t xml:space="preserve">          33.657.248/0001-89</t>
  </si>
  <si>
    <r>
      <t xml:space="preserve">       </t>
    </r>
    <r>
      <rPr>
        <sz val="9"/>
        <rFont val="Calibri"/>
        <family val="2"/>
      </rPr>
      <t>10.636.142/0001-01</t>
    </r>
  </si>
  <si>
    <t>31.936.657/0001-99</t>
  </si>
  <si>
    <t xml:space="preserve">           23.873.004/0001-80</t>
  </si>
  <si>
    <t xml:space="preserve">          23.873.004/0001-80</t>
  </si>
  <si>
    <t xml:space="preserve">DIROP -  Sr. Fernando  Freitas </t>
  </si>
  <si>
    <t>GETEC - Sr. Eduardo Tomazett Martins</t>
  </si>
  <si>
    <t xml:space="preserve">SEGER - Sra. Ariana da Costa Pires Barbosa </t>
  </si>
  <si>
    <t>ASTEC - Sra. Maria Terezinha da Mota Batista</t>
  </si>
  <si>
    <t xml:space="preserve">GEPAT - Sr. Gibran Carvalho Abrão </t>
  </si>
  <si>
    <t>GEPAT-Sr. Gibran Carvalho Abrão</t>
  </si>
  <si>
    <t xml:space="preserve"> GEPAT - SR. Gibran Carvalho Abrão </t>
  </si>
  <si>
    <t xml:space="preserve">GEJUD-Sra. Maria Cecília Gonçalves Kayal </t>
  </si>
  <si>
    <t>GEPES-Sr. Fernando Dias dos Reis</t>
  </si>
  <si>
    <t>GETEC-Sr. Eduardo Tomazett Martins</t>
  </si>
  <si>
    <t>ASTEC-Maria Terizinha da Mota Batista</t>
  </si>
  <si>
    <t xml:space="preserve">GEATE - </t>
  </si>
  <si>
    <t xml:space="preserve">GEACO- Sr. Flay Canedo Martins </t>
  </si>
  <si>
    <t>GEACO-Flay Canedo Martins</t>
  </si>
  <si>
    <t>GEACO-Sr. Flay Canedo Martins</t>
  </si>
  <si>
    <t xml:space="preserve">GEACO-Sr. Flay Canedo Martins </t>
  </si>
  <si>
    <t>SEGER-Ariana da Costa Pirtes Barbosa</t>
  </si>
  <si>
    <t>GEROP-ALEXSANDER Alexsander de Oliveira Linhares</t>
  </si>
  <si>
    <t>GEREC-Sr.FLAY CANEDO MARTINS</t>
  </si>
  <si>
    <t>GEREC-Sr. FLAY CANEDO MARTINS</t>
  </si>
  <si>
    <t>GEREC-FLAY CANEDO MARTINS</t>
  </si>
  <si>
    <t xml:space="preserve">GEPAT-SR. Gibran Carvalho Abrão </t>
  </si>
  <si>
    <t>ASTASTEC-Maria Terizinha da Mota BatistaEC</t>
  </si>
  <si>
    <t>GEPAT-Gibran Carvalho Abrão</t>
  </si>
  <si>
    <t>GEJUD/ASTEC-Maria Terezinha da Bota Batista/Maria Cecília</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</si>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</sst>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quot;R$&quot;\ * #,##0.00_-;\-&quot;R$&quot;\ * #,##0.00_-;_-&quot;R$&quot;\ * &quot;-&quot;??_-;_-@_-"/>
    <numFmt numFmtId="176" formatCode="_(&quot;R$ &quot;* #,##0.00_);_(&quot;R$ &quot;* \(#,##0.00\);_(&quot;R$ &quot;* &quot;-&quot;??_);_(@_)"/>
    <numFmt numFmtId="178" formatCode="_(* #,##0.00_);_(* \(#,##0.00\);_(* \-??_);_(@_)"/>
    <numFmt numFmtId="179" formatCode="0_);[Red]\(0\)"/>
    <numFmt numFmtId="180" formatCode="mm/yy"/>
    <numFmt numFmtId="181" formatCode="000000000\-00"/>
    <numFmt numFmtId="187" formatCode="&quot;R$ &quot;#,##0.00"/>
    <numFmt numFmtId="192" formatCode="#,##0.00######"/>
  </numFmts>
  <fonts count="63" x14ac:knownFonts="1">
    <font>
      <sz val="10"/>
      <name val="Arial"/>
      <family val="2"/>
    </font>
    <font>
      <sz val="10"/>
      <name val="Arial"/>
    </font>
    <font>
      <sz val="8"/>
      <name val="Arial"/>
      <family val="2"/>
    </font>
    <font>
      <b/>
      <sz val="12"/>
      <name val="Arial"/>
      <family val="2"/>
    </font>
    <font>
      <b/>
      <sz val="11"/>
      <name val="Arial"/>
      <family val="2"/>
    </font>
    <font>
      <b/>
      <sz val="8"/>
      <name val="Arial"/>
      <family val="2"/>
    </font>
    <font>
      <sz val="8"/>
      <color indexed="10"/>
      <name val="Arial"/>
      <family val="2"/>
    </font>
    <font>
      <sz val="9"/>
      <name val="Arial"/>
      <family val="2"/>
    </font>
    <font>
      <sz val="9"/>
      <color indexed="10"/>
      <name val="Arial"/>
      <family val="2"/>
    </font>
    <font>
      <b/>
      <sz val="10"/>
      <name val="Arial"/>
      <family val="2"/>
    </font>
    <font>
      <vertAlign val="superscript"/>
      <sz val="8"/>
      <name val="Arial"/>
      <family val="2"/>
    </font>
    <font>
      <sz val="8"/>
      <color indexed="8"/>
      <name val="Arial"/>
      <family val="2"/>
    </font>
    <font>
      <b/>
      <sz val="9"/>
      <name val="Arial"/>
      <family val="2"/>
    </font>
    <font>
      <b/>
      <vertAlign val="superscript"/>
      <sz val="9"/>
      <name val="Arial"/>
      <family val="2"/>
    </font>
    <font>
      <sz val="9"/>
      <color indexed="59"/>
      <name val="Arial"/>
      <family val="2"/>
    </font>
    <font>
      <vertAlign val="superscript"/>
      <sz val="9"/>
      <name val="Arial"/>
      <family val="2"/>
    </font>
    <font>
      <b/>
      <vertAlign val="superscript"/>
      <sz val="8"/>
      <name val="Arial"/>
      <family val="2"/>
    </font>
    <font>
      <sz val="8"/>
      <color indexed="59"/>
      <name val="Arial"/>
      <family val="2"/>
    </font>
    <font>
      <sz val="10"/>
      <name val="Arial"/>
      <family val="2"/>
    </font>
    <font>
      <b/>
      <sz val="18"/>
      <name val="Arial"/>
      <family val="2"/>
    </font>
    <font>
      <b/>
      <i/>
      <sz val="12"/>
      <name val="Arial"/>
      <family val="2"/>
    </font>
    <font>
      <b/>
      <i/>
      <sz val="9"/>
      <name val="Arial"/>
      <family val="2"/>
    </font>
    <font>
      <b/>
      <i/>
      <sz val="10"/>
      <name val="Arial"/>
      <family val="2"/>
    </font>
    <font>
      <sz val="10"/>
      <color indexed="8"/>
      <name val="Arial"/>
      <family val="2"/>
    </font>
    <font>
      <b/>
      <sz val="14"/>
      <name val="Arial"/>
      <family val="2"/>
    </font>
    <font>
      <b/>
      <u/>
      <sz val="12"/>
      <name val="Arial"/>
      <family val="2"/>
    </font>
    <font>
      <sz val="12"/>
      <name val="Arial"/>
      <family val="2"/>
    </font>
    <font>
      <i/>
      <sz val="12"/>
      <name val="Arial"/>
      <family val="2"/>
    </font>
    <font>
      <sz val="11"/>
      <color indexed="81"/>
      <name val="Tahoma"/>
      <family val="2"/>
    </font>
    <font>
      <b/>
      <sz val="11"/>
      <color indexed="81"/>
      <name val="Tahoma"/>
      <family val="2"/>
    </font>
    <font>
      <i/>
      <sz val="10"/>
      <name val="Arial"/>
      <family val="2"/>
    </font>
    <font>
      <sz val="14"/>
      <name val="Arial"/>
      <family val="2"/>
    </font>
    <font>
      <b/>
      <sz val="16"/>
      <name val="Arial"/>
      <family val="2"/>
    </font>
    <font>
      <sz val="16"/>
      <name val="Arial"/>
      <family val="2"/>
    </font>
    <font>
      <sz val="10"/>
      <name val="Calibri"/>
      <family val="2"/>
    </font>
    <font>
      <b/>
      <sz val="10"/>
      <name val="Calibri"/>
      <family val="2"/>
    </font>
    <font>
      <b/>
      <i/>
      <sz val="10"/>
      <name val="Calibri"/>
      <family val="2"/>
    </font>
    <font>
      <sz val="11"/>
      <name val="Arial"/>
      <family val="2"/>
    </font>
    <font>
      <i/>
      <sz val="11"/>
      <name val="Arial"/>
      <family val="2"/>
    </font>
    <font>
      <sz val="11"/>
      <color theme="1"/>
      <name val="Calibri"/>
      <family val="2"/>
      <scheme val="minor"/>
    </font>
    <font>
      <sz val="10"/>
      <color rgb="FF222222"/>
      <name val="Arial"/>
      <family val="2"/>
    </font>
    <font>
      <sz val="10"/>
      <color theme="1"/>
      <name val="Arial"/>
      <family val="2"/>
    </font>
    <font>
      <b/>
      <i/>
      <sz val="10"/>
      <color theme="1"/>
      <name val="Arial"/>
      <family val="2"/>
    </font>
    <font>
      <b/>
      <i/>
      <sz val="10"/>
      <color rgb="FFFF0000"/>
      <name val="Arial"/>
      <family val="2"/>
    </font>
    <font>
      <b/>
      <sz val="10"/>
      <color rgb="FFFF0000"/>
      <name val="Arial"/>
      <family val="2"/>
    </font>
    <font>
      <b/>
      <sz val="8"/>
      <color rgb="FFFF0000"/>
      <name val="Arial"/>
      <family val="2"/>
    </font>
    <font>
      <i/>
      <sz val="10"/>
      <color theme="1"/>
      <name val="Arial"/>
      <family val="2"/>
    </font>
    <font>
      <b/>
      <sz val="10"/>
      <color theme="1"/>
      <name val="Arial"/>
      <family val="2"/>
    </font>
    <font>
      <b/>
      <sz val="8"/>
      <color theme="1"/>
      <name val="Arial"/>
      <family val="2"/>
    </font>
    <font>
      <sz val="8"/>
      <color theme="1"/>
      <name val="Arial"/>
      <family val="2"/>
    </font>
    <font>
      <sz val="14"/>
      <color theme="1"/>
      <name val="Arial"/>
      <family val="2"/>
    </font>
    <font>
      <sz val="10"/>
      <name val="Calibri"/>
      <family val="2"/>
      <scheme val="minor"/>
    </font>
    <font>
      <sz val="10"/>
      <color theme="1"/>
      <name val="Calibri"/>
      <family val="2"/>
      <scheme val="minor"/>
    </font>
    <font>
      <b/>
      <i/>
      <sz val="10"/>
      <color theme="1"/>
      <name val="Calibri"/>
      <family val="2"/>
      <scheme val="minor"/>
    </font>
    <font>
      <b/>
      <i/>
      <sz val="10"/>
      <name val="Calibri"/>
      <family val="2"/>
      <scheme val="minor"/>
    </font>
    <font>
      <sz val="10"/>
      <color rgb="FF222222"/>
      <name val="Calibri"/>
      <family val="2"/>
      <scheme val="minor"/>
    </font>
    <font>
      <u/>
      <sz val="10"/>
      <name val="Calibri"/>
      <family val="2"/>
      <scheme val="minor"/>
    </font>
    <font>
      <b/>
      <sz val="10"/>
      <name val="Calibri"/>
      <family val="2"/>
      <scheme val="minor"/>
    </font>
    <font>
      <i/>
      <sz val="10"/>
      <name val="Calibri"/>
      <family val="2"/>
      <scheme val="minor"/>
    </font>
    <font>
      <sz val="8"/>
      <color rgb="FF000000"/>
      <name val="Calibri"/>
      <family val="2"/>
    </font>
    <font>
      <sz val="11"/>
      <color rgb="FF000000"/>
      <name val="Times New Roman"/>
      <family val="1"/>
    </font>
    <font>
      <sz val="11"/>
      <name val="Calibri"/>
      <family val="2"/>
    </font>
    <font>
      <sz val="9"/>
      <name val="Calibri"/>
      <family val="2"/>
    </font>
  </fonts>
  <fills count="18">
    <fill>
      <patternFill patternType="none"/>
    </fill>
    <fill>
      <patternFill patternType="gray125"/>
    </fill>
    <fill>
      <patternFill patternType="solid">
        <fgColor indexed="22"/>
        <bgColor indexed="31"/>
      </patternFill>
    </fill>
    <fill>
      <patternFill patternType="solid">
        <fgColor indexed="8"/>
        <bgColor indexed="58"/>
      </patternFill>
    </fill>
    <fill>
      <patternFill patternType="solid">
        <fgColor indexed="9"/>
        <bgColor indexed="26"/>
      </patternFill>
    </fill>
    <fill>
      <patternFill patternType="solid">
        <fgColor indexed="10"/>
        <bgColor indexed="60"/>
      </patternFill>
    </fill>
    <fill>
      <patternFill patternType="solid">
        <fgColor indexed="11"/>
        <bgColor indexed="49"/>
      </patternFill>
    </fill>
    <fill>
      <patternFill patternType="solid">
        <fgColor indexed="22"/>
        <bgColor indexed="64"/>
      </patternFill>
    </fill>
    <fill>
      <patternFill patternType="solid">
        <fgColor indexed="8"/>
        <bgColor indexed="64"/>
      </patternFill>
    </fill>
    <fill>
      <patternFill patternType="solid">
        <fgColor theme="1"/>
        <bgColor indexed="64"/>
      </patternFill>
    </fill>
    <fill>
      <patternFill patternType="solid">
        <fgColor rgb="FFFFFF00"/>
        <bgColor indexed="64"/>
      </patternFill>
    </fill>
    <fill>
      <patternFill patternType="solid">
        <fgColor theme="0"/>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rgb="FFFFC000"/>
        <bgColor indexed="64"/>
      </patternFill>
    </fill>
    <fill>
      <patternFill patternType="solid">
        <fgColor rgb="FFFF0000"/>
        <bgColor indexed="64"/>
      </patternFill>
    </fill>
    <fill>
      <patternFill patternType="solid">
        <fgColor theme="4" tint="0.79998168889431442"/>
        <bgColor indexed="64"/>
      </patternFill>
    </fill>
    <fill>
      <patternFill patternType="solid">
        <fgColor theme="0" tint="-0.249977111117893"/>
        <bgColor indexed="64"/>
      </patternFill>
    </fill>
  </fills>
  <borders count="103">
    <border>
      <left/>
      <right/>
      <top/>
      <bottom/>
      <diagonal/>
    </border>
    <border>
      <left/>
      <right style="medium">
        <color indexed="8"/>
      </right>
      <top style="thick">
        <color indexed="8"/>
      </top>
      <bottom/>
      <diagonal/>
    </border>
    <border>
      <left style="medium">
        <color indexed="8"/>
      </left>
      <right style="medium">
        <color indexed="8"/>
      </right>
      <top style="medium">
        <color indexed="8"/>
      </top>
      <bottom style="medium">
        <color indexed="8"/>
      </bottom>
      <diagonal/>
    </border>
    <border>
      <left/>
      <right style="medium">
        <color indexed="8"/>
      </right>
      <top/>
      <bottom style="medium">
        <color indexed="8"/>
      </bottom>
      <diagonal/>
    </border>
    <border>
      <left style="thick">
        <color indexed="8"/>
      </left>
      <right style="medium">
        <color indexed="8"/>
      </right>
      <top style="thin">
        <color indexed="8"/>
      </top>
      <bottom style="thin">
        <color indexed="8"/>
      </bottom>
      <diagonal/>
    </border>
    <border>
      <left style="medium">
        <color indexed="8"/>
      </left>
      <right style="medium">
        <color indexed="8"/>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style="thick">
        <color indexed="8"/>
      </right>
      <top style="thin">
        <color indexed="8"/>
      </top>
      <bottom style="thin">
        <color indexed="8"/>
      </bottom>
      <diagonal/>
    </border>
    <border>
      <left style="thick">
        <color indexed="8"/>
      </left>
      <right style="medium">
        <color indexed="8"/>
      </right>
      <top style="thin">
        <color indexed="8"/>
      </top>
      <bottom/>
      <diagonal/>
    </border>
    <border>
      <left style="medium">
        <color indexed="8"/>
      </left>
      <right style="medium">
        <color indexed="8"/>
      </right>
      <top style="thin">
        <color indexed="8"/>
      </top>
      <bottom/>
      <diagonal/>
    </border>
    <border>
      <left/>
      <right style="medium">
        <color indexed="8"/>
      </right>
      <top style="thin">
        <color indexed="8"/>
      </top>
      <bottom/>
      <diagonal/>
    </border>
    <border>
      <left style="medium">
        <color indexed="8"/>
      </left>
      <right style="thick">
        <color indexed="8"/>
      </right>
      <top style="thin">
        <color indexed="8"/>
      </top>
      <bottom/>
      <diagonal/>
    </border>
    <border>
      <left style="thick">
        <color indexed="8"/>
      </left>
      <right style="medium">
        <color indexed="8"/>
      </right>
      <top style="thin">
        <color indexed="8"/>
      </top>
      <bottom style="thick">
        <color indexed="8"/>
      </bottom>
      <diagonal/>
    </border>
    <border>
      <left style="medium">
        <color indexed="8"/>
      </left>
      <right style="medium">
        <color indexed="8"/>
      </right>
      <top style="thin">
        <color indexed="8"/>
      </top>
      <bottom style="thick">
        <color indexed="8"/>
      </bottom>
      <diagonal/>
    </border>
    <border>
      <left/>
      <right style="medium">
        <color indexed="8"/>
      </right>
      <top style="thin">
        <color indexed="8"/>
      </top>
      <bottom style="thick">
        <color indexed="8"/>
      </bottom>
      <diagonal/>
    </border>
    <border>
      <left style="medium">
        <color indexed="8"/>
      </left>
      <right style="thick">
        <color indexed="8"/>
      </right>
      <top style="thin">
        <color indexed="8"/>
      </top>
      <bottom style="thick">
        <color indexed="8"/>
      </bottom>
      <diagonal/>
    </border>
    <border>
      <left style="medium">
        <color indexed="8"/>
      </left>
      <right style="medium">
        <color indexed="8"/>
      </right>
      <top style="thick">
        <color indexed="8"/>
      </top>
      <bottom/>
      <diagonal/>
    </border>
    <border>
      <left style="medium">
        <color indexed="8"/>
      </left>
      <right style="medium">
        <color indexed="8"/>
      </right>
      <top/>
      <bottom style="medium">
        <color indexed="8"/>
      </bottom>
      <diagonal/>
    </border>
    <border>
      <left style="thick">
        <color indexed="8"/>
      </left>
      <right style="medium">
        <color indexed="8"/>
      </right>
      <top/>
      <bottom/>
      <diagonal/>
    </border>
    <border>
      <left style="medium">
        <color indexed="8"/>
      </left>
      <right style="medium">
        <color indexed="8"/>
      </right>
      <top/>
      <bottom/>
      <diagonal/>
    </border>
    <border>
      <left style="medium">
        <color indexed="8"/>
      </left>
      <right style="medium">
        <color indexed="8"/>
      </right>
      <top style="medium">
        <color indexed="8"/>
      </top>
      <bottom style="thin">
        <color indexed="8"/>
      </bottom>
      <diagonal/>
    </border>
    <border>
      <left/>
      <right style="medium">
        <color indexed="8"/>
      </right>
      <top/>
      <bottom/>
      <diagonal/>
    </border>
    <border>
      <left/>
      <right style="thick">
        <color indexed="8"/>
      </right>
      <top/>
      <bottom/>
      <diagonal/>
    </border>
    <border>
      <left style="thin">
        <color indexed="8"/>
      </left>
      <right style="thin">
        <color indexed="8"/>
      </right>
      <top style="thin">
        <color indexed="8"/>
      </top>
      <bottom style="medium">
        <color indexed="8"/>
      </bottom>
      <diagonal/>
    </border>
    <border>
      <left style="medium">
        <color indexed="8"/>
      </left>
      <right style="medium">
        <color indexed="8"/>
      </right>
      <top style="thin">
        <color indexed="8"/>
      </top>
      <bottom style="medium">
        <color indexed="8"/>
      </bottom>
      <diagonal/>
    </border>
    <border>
      <left/>
      <right style="medium">
        <color indexed="8"/>
      </right>
      <top style="medium">
        <color indexed="8"/>
      </top>
      <bottom style="thin">
        <color indexed="8"/>
      </bottom>
      <diagonal/>
    </border>
    <border>
      <left style="medium">
        <color indexed="8"/>
      </left>
      <right style="medium">
        <color indexed="8"/>
      </right>
      <top/>
      <bottom style="thin">
        <color indexed="8"/>
      </bottom>
      <diagonal/>
    </border>
    <border>
      <left/>
      <right style="medium">
        <color indexed="8"/>
      </right>
      <top/>
      <bottom style="thin">
        <color indexed="8"/>
      </bottom>
      <diagonal/>
    </border>
    <border>
      <left style="medium">
        <color indexed="8"/>
      </left>
      <right/>
      <top style="thin">
        <color indexed="8"/>
      </top>
      <bottom style="thin">
        <color indexed="8"/>
      </bottom>
      <diagonal/>
    </border>
    <border>
      <left style="medium">
        <color indexed="8"/>
      </left>
      <right/>
      <top style="thin">
        <color indexed="8"/>
      </top>
      <bottom/>
      <diagonal/>
    </border>
    <border>
      <left style="medium">
        <color indexed="8"/>
      </left>
      <right style="medium">
        <color indexed="8"/>
      </right>
      <top style="medium">
        <color indexed="8"/>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8"/>
      </left>
      <right style="medium">
        <color indexed="8"/>
      </right>
      <top style="medium">
        <color indexed="8"/>
      </top>
      <bottom style="medium">
        <color indexed="64"/>
      </bottom>
      <diagonal/>
    </border>
    <border>
      <left style="medium">
        <color indexed="8"/>
      </left>
      <right style="medium">
        <color indexed="8"/>
      </right>
      <top/>
      <bottom style="medium">
        <color indexed="64"/>
      </bottom>
      <diagonal/>
    </border>
    <border>
      <left style="medium">
        <color indexed="64"/>
      </left>
      <right style="medium">
        <color indexed="64"/>
      </right>
      <top style="medium">
        <color indexed="64"/>
      </top>
      <bottom style="thin">
        <color indexed="64"/>
      </bottom>
      <diagonal/>
    </border>
    <border>
      <left/>
      <right/>
      <top/>
      <bottom style="thick">
        <color indexed="8"/>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style="thick">
        <color indexed="64"/>
      </bottom>
      <diagonal/>
    </border>
    <border>
      <left/>
      <right style="medium">
        <color indexed="64"/>
      </right>
      <top style="medium">
        <color indexed="64"/>
      </top>
      <bottom style="thin">
        <color indexed="64"/>
      </bottom>
      <diagonal/>
    </border>
    <border>
      <left style="thick">
        <color indexed="8"/>
      </left>
      <right style="medium">
        <color indexed="64"/>
      </right>
      <top/>
      <bottom style="thin">
        <color indexed="64"/>
      </bottom>
      <diagonal/>
    </border>
    <border>
      <left style="medium">
        <color indexed="64"/>
      </left>
      <right style="thick">
        <color indexed="8"/>
      </right>
      <top/>
      <bottom style="thin">
        <color indexed="64"/>
      </bottom>
      <diagonal/>
    </border>
    <border>
      <left style="thick">
        <color indexed="8"/>
      </left>
      <right style="medium">
        <color indexed="64"/>
      </right>
      <top style="thin">
        <color indexed="64"/>
      </top>
      <bottom style="thin">
        <color indexed="64"/>
      </bottom>
      <diagonal/>
    </border>
    <border>
      <left style="medium">
        <color indexed="64"/>
      </left>
      <right style="thick">
        <color indexed="8"/>
      </right>
      <top style="thin">
        <color indexed="64"/>
      </top>
      <bottom style="thin">
        <color indexed="64"/>
      </bottom>
      <diagonal/>
    </border>
    <border>
      <left style="thick">
        <color indexed="8"/>
      </left>
      <right style="medium">
        <color indexed="64"/>
      </right>
      <top style="thin">
        <color indexed="64"/>
      </top>
      <bottom style="thick">
        <color indexed="64"/>
      </bottom>
      <diagonal/>
    </border>
    <border>
      <left style="medium">
        <color indexed="64"/>
      </left>
      <right style="thick">
        <color indexed="8"/>
      </right>
      <top style="thin">
        <color indexed="64"/>
      </top>
      <bottom style="thick">
        <color indexed="64"/>
      </bottom>
      <diagonal/>
    </border>
    <border>
      <left/>
      <right style="medium">
        <color indexed="64"/>
      </right>
      <top style="thin">
        <color indexed="64"/>
      </top>
      <bottom style="medium">
        <color indexed="64"/>
      </bottom>
      <diagonal/>
    </border>
    <border>
      <left/>
      <right/>
      <top/>
      <bottom style="thin">
        <color indexed="64"/>
      </bottom>
      <diagonal/>
    </border>
    <border>
      <left style="medium">
        <color indexed="64"/>
      </left>
      <right/>
      <top style="thin">
        <color indexed="64"/>
      </top>
      <bottom/>
      <diagonal/>
    </border>
    <border>
      <left/>
      <right style="medium">
        <color indexed="8"/>
      </right>
      <top style="medium">
        <color indexed="64"/>
      </top>
      <bottom/>
      <diagonal/>
    </border>
    <border>
      <left/>
      <right style="medium">
        <color indexed="8"/>
      </right>
      <top/>
      <bottom style="medium">
        <color indexed="64"/>
      </bottom>
      <diagonal/>
    </border>
    <border>
      <left/>
      <right style="medium">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ck">
        <color indexed="8"/>
      </left>
      <right style="medium">
        <color indexed="8"/>
      </right>
      <top style="thick">
        <color indexed="8"/>
      </top>
      <bottom style="medium">
        <color indexed="8"/>
      </bottom>
      <diagonal/>
    </border>
    <border>
      <left style="medium">
        <color indexed="8"/>
      </left>
      <right style="medium">
        <color indexed="8"/>
      </right>
      <top style="thick">
        <color indexed="8"/>
      </top>
      <bottom style="medium">
        <color indexed="8"/>
      </bottom>
      <diagonal/>
    </border>
    <border>
      <left/>
      <right style="medium">
        <color indexed="8"/>
      </right>
      <top style="thick">
        <color indexed="8"/>
      </top>
      <bottom style="medium">
        <color indexed="8"/>
      </bottom>
      <diagonal/>
    </border>
    <border>
      <left style="thin">
        <color indexed="8"/>
      </left>
      <right style="thick">
        <color indexed="8"/>
      </right>
      <top style="thick">
        <color indexed="8"/>
      </top>
      <bottom style="medium">
        <color indexed="8"/>
      </bottom>
      <diagonal/>
    </border>
    <border>
      <left/>
      <right/>
      <top/>
      <bottom style="medium">
        <color indexed="8"/>
      </bottom>
      <diagonal/>
    </border>
    <border>
      <left/>
      <right style="thin">
        <color indexed="8"/>
      </right>
      <top style="medium">
        <color indexed="8"/>
      </top>
      <bottom style="medium">
        <color indexed="8"/>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medium">
        <color indexed="8"/>
      </top>
      <bottom style="medium">
        <color indexed="8"/>
      </bottom>
      <diagonal/>
    </border>
    <border>
      <left style="thick">
        <color indexed="8"/>
      </left>
      <right style="medium">
        <color indexed="8"/>
      </right>
      <top style="thick">
        <color indexed="8"/>
      </top>
      <bottom/>
      <diagonal/>
    </border>
    <border>
      <left style="thin">
        <color indexed="8"/>
      </left>
      <right style="thick">
        <color indexed="8"/>
      </right>
      <top style="thick">
        <color indexed="8"/>
      </top>
      <bottom/>
      <diagonal/>
    </border>
    <border>
      <left style="medium">
        <color indexed="8"/>
      </left>
      <right style="thick">
        <color indexed="8"/>
      </right>
      <top style="thick">
        <color indexed="8"/>
      </top>
      <bottom style="medium">
        <color indexed="8"/>
      </bottom>
      <diagonal/>
    </border>
    <border>
      <left style="thick">
        <color indexed="8"/>
      </left>
      <right style="medium">
        <color indexed="8"/>
      </right>
      <top style="thick">
        <color indexed="8"/>
      </top>
      <bottom style="thin">
        <color indexed="8"/>
      </bottom>
      <diagonal/>
    </border>
    <border>
      <left style="medium">
        <color indexed="8"/>
      </left>
      <right style="medium">
        <color indexed="8"/>
      </right>
      <top style="thick">
        <color indexed="8"/>
      </top>
      <bottom style="thin">
        <color indexed="8"/>
      </bottom>
      <diagonal/>
    </border>
    <border>
      <left style="medium">
        <color indexed="8"/>
      </left>
      <right style="thick">
        <color indexed="8"/>
      </right>
      <top style="thick">
        <color indexed="8"/>
      </top>
      <bottom style="thin">
        <color indexed="8"/>
      </bottom>
      <diagonal/>
    </border>
    <border>
      <left style="medium">
        <color indexed="8"/>
      </left>
      <right style="medium">
        <color indexed="8"/>
      </right>
      <top style="medium">
        <color indexed="64"/>
      </top>
      <bottom style="medium">
        <color indexed="8"/>
      </bottom>
      <diagonal/>
    </border>
    <border>
      <left style="medium">
        <color indexed="8"/>
      </left>
      <right style="medium">
        <color indexed="8"/>
      </right>
      <top style="thick">
        <color indexed="8"/>
      </top>
      <bottom style="medium">
        <color indexed="64"/>
      </bottom>
      <diagonal/>
    </border>
    <border>
      <left style="thin">
        <color indexed="8"/>
      </left>
      <right style="medium">
        <color indexed="64"/>
      </right>
      <top style="medium">
        <color indexed="64"/>
      </top>
      <bottom style="medium">
        <color indexed="8"/>
      </bottom>
      <diagonal/>
    </border>
    <border>
      <left style="thin">
        <color indexed="8"/>
      </left>
      <right style="medium">
        <color indexed="64"/>
      </right>
      <top style="thick">
        <color indexed="8"/>
      </top>
      <bottom style="medium">
        <color indexed="64"/>
      </bottom>
      <diagonal/>
    </border>
    <border>
      <left style="medium">
        <color indexed="8"/>
      </left>
      <right style="medium">
        <color indexed="8"/>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8"/>
      </right>
      <top style="medium">
        <color indexed="64"/>
      </top>
      <bottom/>
      <diagonal/>
    </border>
    <border>
      <left style="medium">
        <color indexed="64"/>
      </left>
      <right style="medium">
        <color indexed="8"/>
      </right>
      <top/>
      <bottom style="medium">
        <color indexed="64"/>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s>
  <cellStyleXfs count="5">
    <xf numFmtId="0" fontId="0" fillId="0" borderId="0"/>
    <xf numFmtId="176" fontId="1" fillId="0" borderId="0" applyFill="0" applyBorder="0" applyAlignment="0" applyProtection="0"/>
    <xf numFmtId="44" fontId="39" fillId="0" borderId="0" applyFont="0" applyFill="0" applyBorder="0" applyAlignment="0" applyProtection="0"/>
    <xf numFmtId="0" fontId="39" fillId="0" borderId="0"/>
    <xf numFmtId="178" fontId="18" fillId="0" borderId="0" applyFill="0" applyBorder="0" applyAlignment="0" applyProtection="0"/>
  </cellStyleXfs>
  <cellXfs count="1035">
    <xf numFmtId="0" fontId="0" fillId="0" borderId="0" xfId="0"/>
    <xf numFmtId="0" fontId="2" fillId="0" borderId="0" xfId="0" applyFont="1" applyFill="1"/>
    <xf numFmtId="178" fontId="2" fillId="0" borderId="0" xfId="4" applyFont="1" applyFill="1" applyBorder="1" applyAlignment="1" applyProtection="1"/>
    <xf numFmtId="0" fontId="3" fillId="0" borderId="0" xfId="0" applyFont="1" applyFill="1" applyAlignment="1">
      <alignment horizontal="right" vertical="top"/>
    </xf>
    <xf numFmtId="14" fontId="4" fillId="0" borderId="0" xfId="0" applyNumberFormat="1" applyFont="1" applyFill="1" applyAlignment="1">
      <alignment horizontal="right" vertical="top"/>
    </xf>
    <xf numFmtId="0" fontId="5" fillId="2" borderId="1" xfId="0" applyFont="1" applyFill="1" applyBorder="1" applyAlignment="1">
      <alignment horizontal="center" vertical="top"/>
    </xf>
    <xf numFmtId="0" fontId="2" fillId="0" borderId="0" xfId="0" applyFont="1" applyFill="1" applyAlignment="1">
      <alignment horizontal="center"/>
    </xf>
    <xf numFmtId="0" fontId="5" fillId="2" borderId="2" xfId="0" applyFont="1" applyFill="1" applyBorder="1"/>
    <xf numFmtId="0" fontId="5" fillId="2" borderId="3" xfId="0" applyFont="1" applyFill="1" applyBorder="1" applyAlignment="1">
      <alignment horizontal="center" vertical="top"/>
    </xf>
    <xf numFmtId="0" fontId="2" fillId="0" borderId="4" xfId="0" applyFont="1" applyFill="1" applyBorder="1" applyAlignment="1">
      <alignment horizontal="center" wrapText="1"/>
    </xf>
    <xf numFmtId="0" fontId="2" fillId="0" borderId="5" xfId="0" applyFont="1" applyFill="1" applyBorder="1" applyAlignment="1">
      <alignment horizontal="center" wrapText="1"/>
    </xf>
    <xf numFmtId="0" fontId="2" fillId="0" borderId="5" xfId="0" applyFont="1" applyFill="1" applyBorder="1" applyAlignment="1">
      <alignment wrapText="1"/>
    </xf>
    <xf numFmtId="178" fontId="2" fillId="0" borderId="5" xfId="4" applyFont="1" applyFill="1" applyBorder="1" applyAlignment="1" applyProtection="1">
      <alignment horizontal="right" wrapText="1"/>
    </xf>
    <xf numFmtId="14" fontId="2" fillId="0" borderId="6" xfId="0" applyNumberFormat="1" applyFont="1" applyFill="1" applyBorder="1" applyAlignment="1">
      <alignment horizontal="center" wrapText="1"/>
    </xf>
    <xf numFmtId="178" fontId="2" fillId="0" borderId="5" xfId="4" applyFont="1" applyFill="1" applyBorder="1" applyAlignment="1" applyProtection="1">
      <alignment horizontal="center" wrapText="1"/>
    </xf>
    <xf numFmtId="0" fontId="2" fillId="0" borderId="5" xfId="0" applyFont="1" applyFill="1" applyBorder="1" applyAlignment="1"/>
    <xf numFmtId="14" fontId="2" fillId="0" borderId="5" xfId="0" applyNumberFormat="1" applyFont="1" applyFill="1" applyBorder="1" applyAlignment="1">
      <alignment horizontal="center"/>
    </xf>
    <xf numFmtId="179" fontId="2" fillId="0" borderId="5" xfId="4" applyNumberFormat="1" applyFont="1" applyFill="1" applyBorder="1" applyAlignment="1" applyProtection="1">
      <alignment horizontal="center"/>
    </xf>
    <xf numFmtId="0" fontId="2" fillId="0" borderId="7" xfId="0" applyFont="1" applyFill="1" applyBorder="1" applyAlignment="1">
      <alignment horizontal="center" wrapText="1"/>
    </xf>
    <xf numFmtId="49" fontId="2" fillId="0" borderId="5" xfId="4" applyNumberFormat="1" applyFont="1" applyFill="1" applyBorder="1" applyAlignment="1" applyProtection="1">
      <alignment horizontal="center" wrapText="1"/>
    </xf>
    <xf numFmtId="49" fontId="2" fillId="0" borderId="5" xfId="0" applyNumberFormat="1" applyFont="1" applyFill="1" applyBorder="1" applyAlignment="1">
      <alignment horizontal="center" wrapText="1"/>
    </xf>
    <xf numFmtId="49" fontId="2" fillId="0" borderId="4" xfId="0" applyNumberFormat="1" applyFont="1" applyFill="1" applyBorder="1" applyAlignment="1">
      <alignment horizontal="center"/>
    </xf>
    <xf numFmtId="0" fontId="2" fillId="0" borderId="5" xfId="0" applyFont="1" applyFill="1" applyBorder="1" applyAlignment="1">
      <alignment horizontal="center"/>
    </xf>
    <xf numFmtId="178" fontId="2" fillId="0" borderId="5" xfId="4" applyFont="1" applyFill="1" applyBorder="1" applyAlignment="1" applyProtection="1">
      <alignment horizontal="right"/>
    </xf>
    <xf numFmtId="14" fontId="2" fillId="0" borderId="6" xfId="0" applyNumberFormat="1" applyFont="1" applyFill="1" applyBorder="1" applyAlignment="1">
      <alignment horizontal="center"/>
    </xf>
    <xf numFmtId="178" fontId="2" fillId="0" borderId="5" xfId="4" applyFont="1" applyFill="1" applyBorder="1" applyAlignment="1" applyProtection="1">
      <alignment horizontal="center"/>
    </xf>
    <xf numFmtId="14" fontId="2" fillId="0" borderId="7" xfId="0" applyNumberFormat="1" applyFont="1" applyFill="1" applyBorder="1" applyAlignment="1">
      <alignment horizontal="center"/>
    </xf>
    <xf numFmtId="0" fontId="2" fillId="0" borderId="5" xfId="4" applyNumberFormat="1" applyFont="1" applyFill="1" applyBorder="1" applyAlignment="1" applyProtection="1">
      <alignment horizontal="center" wrapText="1"/>
    </xf>
    <xf numFmtId="0" fontId="2" fillId="0" borderId="7" xfId="0" applyFont="1" applyFill="1" applyBorder="1" applyAlignment="1">
      <alignment horizontal="center"/>
    </xf>
    <xf numFmtId="180" fontId="2" fillId="0" borderId="4" xfId="0" applyNumberFormat="1" applyFont="1" applyFill="1" applyBorder="1" applyAlignment="1">
      <alignment horizontal="center" wrapText="1"/>
    </xf>
    <xf numFmtId="0" fontId="2" fillId="0" borderId="4" xfId="0" applyFont="1" applyFill="1" applyBorder="1" applyAlignment="1">
      <alignment horizontal="center"/>
    </xf>
    <xf numFmtId="0" fontId="2" fillId="0" borderId="8" xfId="0" applyFont="1" applyFill="1" applyBorder="1" applyAlignment="1">
      <alignment horizontal="center" wrapText="1"/>
    </xf>
    <xf numFmtId="49" fontId="2" fillId="0" borderId="9" xfId="0" applyNumberFormat="1" applyFont="1" applyFill="1" applyBorder="1" applyAlignment="1">
      <alignment horizontal="center" wrapText="1"/>
    </xf>
    <xf numFmtId="0" fontId="2" fillId="0" borderId="9" xfId="0" applyFont="1" applyFill="1" applyBorder="1" applyAlignment="1">
      <alignment horizontal="center" wrapText="1"/>
    </xf>
    <xf numFmtId="0" fontId="2" fillId="0" borderId="9" xfId="0" applyFont="1" applyFill="1" applyBorder="1" applyAlignment="1">
      <alignment wrapText="1"/>
    </xf>
    <xf numFmtId="178" fontId="2" fillId="0" borderId="9" xfId="4" applyFont="1" applyFill="1" applyBorder="1" applyAlignment="1" applyProtection="1">
      <alignment horizontal="right" wrapText="1"/>
    </xf>
    <xf numFmtId="14" fontId="2" fillId="0" borderId="10" xfId="0" applyNumberFormat="1" applyFont="1" applyFill="1" applyBorder="1" applyAlignment="1">
      <alignment horizontal="center" wrapText="1"/>
    </xf>
    <xf numFmtId="178" fontId="2" fillId="0" borderId="9" xfId="4" applyFont="1" applyFill="1" applyBorder="1" applyAlignment="1" applyProtection="1">
      <alignment horizontal="center" wrapText="1"/>
    </xf>
    <xf numFmtId="0" fontId="2" fillId="0" borderId="9" xfId="0" applyFont="1" applyFill="1" applyBorder="1" applyAlignment="1"/>
    <xf numFmtId="14" fontId="2" fillId="0" borderId="9" xfId="0" applyNumberFormat="1" applyFont="1" applyFill="1" applyBorder="1" applyAlignment="1">
      <alignment horizontal="center"/>
    </xf>
    <xf numFmtId="179" fontId="2" fillId="0" borderId="9" xfId="4" applyNumberFormat="1" applyFont="1" applyFill="1" applyBorder="1" applyAlignment="1" applyProtection="1">
      <alignment horizontal="center"/>
    </xf>
    <xf numFmtId="0" fontId="2" fillId="0" borderId="11" xfId="0" applyFont="1" applyFill="1" applyBorder="1" applyAlignment="1">
      <alignment horizontal="center" wrapText="1"/>
    </xf>
    <xf numFmtId="0" fontId="2" fillId="0" borderId="12" xfId="0" applyFont="1" applyFill="1" applyBorder="1" applyAlignment="1">
      <alignment horizontal="center" wrapText="1"/>
    </xf>
    <xf numFmtId="0" fontId="2" fillId="0" borderId="13" xfId="0" applyFont="1" applyFill="1" applyBorder="1" applyAlignment="1">
      <alignment horizontal="center" wrapText="1"/>
    </xf>
    <xf numFmtId="0" fontId="2" fillId="0" borderId="13" xfId="0" applyFont="1" applyFill="1" applyBorder="1" applyAlignment="1">
      <alignment wrapText="1"/>
    </xf>
    <xf numFmtId="178" fontId="2" fillId="0" borderId="13" xfId="4" applyFont="1" applyFill="1" applyBorder="1" applyAlignment="1" applyProtection="1">
      <alignment horizontal="right" wrapText="1"/>
    </xf>
    <xf numFmtId="14" fontId="2" fillId="0" borderId="14" xfId="0" applyNumberFormat="1" applyFont="1" applyFill="1" applyBorder="1" applyAlignment="1">
      <alignment horizontal="center" wrapText="1"/>
    </xf>
    <xf numFmtId="178" fontId="2" fillId="0" borderId="13" xfId="4" applyFont="1" applyFill="1" applyBorder="1" applyAlignment="1" applyProtection="1">
      <alignment horizontal="center" wrapText="1"/>
    </xf>
    <xf numFmtId="0" fontId="2" fillId="0" borderId="13" xfId="0" applyFont="1" applyFill="1" applyBorder="1" applyAlignment="1"/>
    <xf numFmtId="14" fontId="2" fillId="0" borderId="13" xfId="0" applyNumberFormat="1" applyFont="1" applyFill="1" applyBorder="1" applyAlignment="1">
      <alignment horizontal="center"/>
    </xf>
    <xf numFmtId="179" fontId="2" fillId="0" borderId="13" xfId="4" applyNumberFormat="1" applyFont="1" applyFill="1" applyBorder="1" applyAlignment="1" applyProtection="1">
      <alignment horizontal="center"/>
    </xf>
    <xf numFmtId="0" fontId="2" fillId="0" borderId="15" xfId="0" applyFont="1" applyFill="1" applyBorder="1" applyAlignment="1">
      <alignment horizontal="center" wrapText="1"/>
    </xf>
    <xf numFmtId="0" fontId="2" fillId="0" borderId="0" xfId="0" applyFont="1" applyFill="1" applyAlignment="1"/>
    <xf numFmtId="0" fontId="7" fillId="0" borderId="0" xfId="0" applyFont="1" applyFill="1" applyAlignment="1"/>
    <xf numFmtId="0" fontId="7" fillId="0" borderId="0" xfId="0" applyFont="1" applyFill="1"/>
    <xf numFmtId="14" fontId="2" fillId="0" borderId="0" xfId="0" applyNumberFormat="1" applyFont="1" applyFill="1"/>
    <xf numFmtId="14" fontId="3" fillId="0" borderId="0" xfId="0" applyNumberFormat="1" applyFont="1" applyFill="1" applyAlignment="1">
      <alignment horizontal="right" vertical="center"/>
    </xf>
    <xf numFmtId="0" fontId="5" fillId="2" borderId="16" xfId="0" applyFont="1" applyFill="1" applyBorder="1" applyAlignment="1">
      <alignment horizontal="center" vertical="center" shrinkToFit="1"/>
    </xf>
    <xf numFmtId="0" fontId="5" fillId="2" borderId="17" xfId="0" applyFont="1" applyFill="1" applyBorder="1" applyAlignment="1">
      <alignment horizontal="center" vertical="center" shrinkToFit="1"/>
    </xf>
    <xf numFmtId="0" fontId="2" fillId="0" borderId="18" xfId="0" applyFont="1" applyFill="1" applyBorder="1" applyAlignment="1">
      <alignment horizontal="center" wrapText="1"/>
    </xf>
    <xf numFmtId="0" fontId="2" fillId="0" borderId="19" xfId="0" applyFont="1" applyFill="1" applyBorder="1" applyAlignment="1">
      <alignment horizontal="center" wrapText="1"/>
    </xf>
    <xf numFmtId="0" fontId="2" fillId="0" borderId="19" xfId="0" applyFont="1" applyFill="1" applyBorder="1" applyAlignment="1">
      <alignment wrapText="1"/>
    </xf>
    <xf numFmtId="178" fontId="2" fillId="0" borderId="20" xfId="4" applyFont="1" applyFill="1" applyBorder="1" applyAlignment="1" applyProtection="1">
      <alignment horizontal="right" wrapText="1"/>
    </xf>
    <xf numFmtId="179" fontId="2" fillId="0" borderId="5" xfId="4" applyNumberFormat="1" applyFont="1" applyFill="1" applyBorder="1" applyAlignment="1" applyProtection="1">
      <alignment horizontal="center" wrapText="1"/>
    </xf>
    <xf numFmtId="14" fontId="2" fillId="0" borderId="21" xfId="0" applyNumberFormat="1" applyFont="1" applyFill="1" applyBorder="1" applyAlignment="1">
      <alignment horizontal="center" wrapText="1"/>
    </xf>
    <xf numFmtId="178" fontId="2" fillId="0" borderId="19" xfId="4" applyFont="1" applyFill="1" applyBorder="1" applyAlignment="1" applyProtection="1">
      <alignment horizontal="center" wrapText="1"/>
    </xf>
    <xf numFmtId="0" fontId="2" fillId="0" borderId="19" xfId="0" applyFont="1" applyFill="1" applyBorder="1" applyAlignment="1"/>
    <xf numFmtId="14" fontId="2" fillId="0" borderId="19" xfId="0" applyNumberFormat="1" applyFont="1" applyFill="1" applyBorder="1" applyAlignment="1">
      <alignment horizontal="center"/>
    </xf>
    <xf numFmtId="0" fontId="2" fillId="0" borderId="22" xfId="0" applyFont="1" applyFill="1" applyBorder="1" applyAlignment="1">
      <alignment horizontal="center" wrapText="1"/>
    </xf>
    <xf numFmtId="179" fontId="2" fillId="0" borderId="9" xfId="4" applyNumberFormat="1" applyFont="1" applyFill="1" applyBorder="1" applyAlignment="1" applyProtection="1">
      <alignment horizontal="center" wrapText="1"/>
    </xf>
    <xf numFmtId="0" fontId="2" fillId="0" borderId="9" xfId="0" applyFont="1" applyFill="1" applyBorder="1" applyAlignment="1">
      <alignment horizontal="center"/>
    </xf>
    <xf numFmtId="0" fontId="2" fillId="0" borderId="8" xfId="0" applyFont="1" applyFill="1" applyBorder="1" applyAlignment="1">
      <alignment horizontal="center"/>
    </xf>
    <xf numFmtId="179" fontId="2" fillId="3" borderId="13" xfId="4" applyNumberFormat="1" applyFont="1" applyFill="1" applyBorder="1" applyAlignment="1" applyProtection="1">
      <alignment horizontal="center" wrapText="1"/>
    </xf>
    <xf numFmtId="14" fontId="2" fillId="0" borderId="13" xfId="0" applyNumberFormat="1" applyFont="1" applyFill="1" applyBorder="1" applyAlignment="1">
      <alignment horizontal="center" wrapText="1"/>
    </xf>
    <xf numFmtId="14" fontId="2" fillId="0" borderId="0" xfId="0" applyNumberFormat="1" applyFont="1" applyFill="1" applyAlignment="1"/>
    <xf numFmtId="14" fontId="2" fillId="0" borderId="0" xfId="4" applyNumberFormat="1" applyFont="1" applyFill="1" applyBorder="1" applyAlignment="1" applyProtection="1"/>
    <xf numFmtId="14" fontId="11" fillId="0" borderId="6" xfId="0" applyNumberFormat="1" applyFont="1" applyFill="1" applyBorder="1" applyAlignment="1">
      <alignment horizontal="center" wrapText="1"/>
    </xf>
    <xf numFmtId="14" fontId="11" fillId="0" borderId="10" xfId="0" applyNumberFormat="1" applyFont="1" applyFill="1" applyBorder="1" applyAlignment="1">
      <alignment horizontal="center" wrapText="1"/>
    </xf>
    <xf numFmtId="49" fontId="2" fillId="0" borderId="9" xfId="4" applyNumberFormat="1" applyFont="1" applyFill="1" applyBorder="1" applyAlignment="1" applyProtection="1">
      <alignment horizontal="center" wrapText="1"/>
    </xf>
    <xf numFmtId="0" fontId="5" fillId="0" borderId="0" xfId="0" applyFont="1" applyFill="1" applyAlignment="1">
      <alignment horizontal="center"/>
    </xf>
    <xf numFmtId="0" fontId="5" fillId="0" borderId="23" xfId="0" applyFont="1" applyFill="1" applyBorder="1"/>
    <xf numFmtId="0" fontId="2" fillId="0" borderId="20" xfId="0" applyFont="1" applyFill="1" applyBorder="1" applyAlignment="1">
      <alignment horizontal="center" wrapText="1"/>
    </xf>
    <xf numFmtId="0" fontId="2" fillId="0" borderId="20" xfId="0" applyFont="1" applyFill="1" applyBorder="1" applyAlignment="1">
      <alignment horizontal="left" wrapText="1"/>
    </xf>
    <xf numFmtId="0" fontId="2" fillId="0" borderId="20" xfId="0" applyFont="1" applyFill="1" applyBorder="1" applyAlignment="1">
      <alignment wrapText="1"/>
    </xf>
    <xf numFmtId="178" fontId="2" fillId="0" borderId="20" xfId="4" applyFont="1" applyFill="1" applyBorder="1" applyAlignment="1" applyProtection="1">
      <alignment horizontal="center" wrapText="1"/>
    </xf>
    <xf numFmtId="14" fontId="2" fillId="0" borderId="20" xfId="0" applyNumberFormat="1" applyFont="1" applyFill="1" applyBorder="1" applyAlignment="1">
      <alignment horizontal="center" wrapText="1"/>
    </xf>
    <xf numFmtId="0" fontId="2" fillId="0" borderId="20" xfId="0" applyFont="1" applyFill="1" applyBorder="1"/>
    <xf numFmtId="0" fontId="2" fillId="0" borderId="0" xfId="0" applyFont="1" applyFill="1" applyAlignment="1">
      <alignment horizontal="left"/>
    </xf>
    <xf numFmtId="0" fontId="2" fillId="0" borderId="5" xfId="0" applyFont="1" applyFill="1" applyBorder="1" applyAlignment="1">
      <alignment horizontal="left" wrapText="1"/>
    </xf>
    <xf numFmtId="14" fontId="2" fillId="0" borderId="5" xfId="0" applyNumberFormat="1" applyFont="1" applyFill="1" applyBorder="1" applyAlignment="1">
      <alignment horizontal="center" wrapText="1"/>
    </xf>
    <xf numFmtId="0" fontId="2" fillId="0" borderId="5" xfId="0" applyFont="1" applyFill="1" applyBorder="1"/>
    <xf numFmtId="14" fontId="5" fillId="0" borderId="5" xfId="0" applyNumberFormat="1" applyFont="1" applyFill="1" applyBorder="1" applyAlignment="1">
      <alignment horizontal="center" wrapText="1"/>
    </xf>
    <xf numFmtId="14" fontId="2" fillId="0" borderId="0" xfId="0" applyNumberFormat="1" applyFont="1" applyFill="1" applyAlignment="1">
      <alignment horizontal="left"/>
    </xf>
    <xf numFmtId="0" fontId="6" fillId="0" borderId="0" xfId="0" applyFont="1" applyFill="1" applyAlignment="1">
      <alignment horizontal="left"/>
    </xf>
    <xf numFmtId="0" fontId="2" fillId="0" borderId="9" xfId="0" applyFont="1" applyFill="1" applyBorder="1" applyAlignment="1">
      <alignment horizontal="left" wrapText="1"/>
    </xf>
    <xf numFmtId="14" fontId="2" fillId="0" borderId="9" xfId="0" applyNumberFormat="1" applyFont="1" applyFill="1" applyBorder="1" applyAlignment="1">
      <alignment horizontal="center" wrapText="1"/>
    </xf>
    <xf numFmtId="0" fontId="2" fillId="0" borderId="9" xfId="0" applyFont="1" applyFill="1" applyBorder="1"/>
    <xf numFmtId="0" fontId="2" fillId="0" borderId="24" xfId="0" applyFont="1" applyFill="1" applyBorder="1" applyAlignment="1">
      <alignment horizontal="center" wrapText="1"/>
    </xf>
    <xf numFmtId="0" fontId="2" fillId="0" borderId="24" xfId="0" applyFont="1" applyFill="1" applyBorder="1" applyAlignment="1">
      <alignment horizontal="left" wrapText="1"/>
    </xf>
    <xf numFmtId="0" fontId="2" fillId="0" borderId="24" xfId="0" applyFont="1" applyFill="1" applyBorder="1" applyAlignment="1">
      <alignment wrapText="1"/>
    </xf>
    <xf numFmtId="178" fontId="2" fillId="0" borderId="24" xfId="4" applyFont="1" applyFill="1" applyBorder="1" applyAlignment="1" applyProtection="1">
      <alignment horizontal="center" wrapText="1"/>
    </xf>
    <xf numFmtId="14" fontId="2" fillId="0" borderId="24" xfId="0" applyNumberFormat="1" applyFont="1" applyFill="1" applyBorder="1" applyAlignment="1">
      <alignment horizontal="center" wrapText="1"/>
    </xf>
    <xf numFmtId="0" fontId="2" fillId="0" borderId="24" xfId="0" applyFont="1" applyFill="1" applyBorder="1"/>
    <xf numFmtId="178" fontId="2" fillId="0" borderId="0" xfId="4" applyFont="1" applyFill="1" applyBorder="1" applyAlignment="1" applyProtection="1">
      <alignment horizontal="center"/>
    </xf>
    <xf numFmtId="178" fontId="2" fillId="0" borderId="0" xfId="4" applyFont="1" applyFill="1" applyBorder="1" applyAlignment="1" applyProtection="1">
      <alignment horizontal="center" shrinkToFit="1"/>
    </xf>
    <xf numFmtId="0" fontId="12" fillId="2" borderId="16" xfId="0" applyFont="1" applyFill="1" applyBorder="1" applyAlignment="1">
      <alignment horizontal="center" vertical="center" shrinkToFit="1"/>
    </xf>
    <xf numFmtId="0" fontId="12" fillId="2" borderId="1" xfId="0" applyFont="1" applyFill="1" applyBorder="1" applyAlignment="1">
      <alignment horizontal="center" vertical="top"/>
    </xf>
    <xf numFmtId="0" fontId="7" fillId="0" borderId="0" xfId="0" applyFont="1" applyFill="1" applyAlignment="1">
      <alignment horizontal="center"/>
    </xf>
    <xf numFmtId="0" fontId="12" fillId="2" borderId="2" xfId="0" applyFont="1" applyFill="1" applyBorder="1"/>
    <xf numFmtId="0" fontId="12" fillId="2" borderId="17" xfId="0" applyFont="1" applyFill="1" applyBorder="1" applyAlignment="1">
      <alignment horizontal="center" vertical="center" shrinkToFit="1"/>
    </xf>
    <xf numFmtId="0" fontId="12" fillId="2" borderId="3" xfId="0" applyFont="1" applyFill="1" applyBorder="1" applyAlignment="1">
      <alignment horizontal="center" vertical="top"/>
    </xf>
    <xf numFmtId="0" fontId="7" fillId="4" borderId="18" xfId="0" applyFont="1" applyFill="1" applyBorder="1" applyAlignment="1">
      <alignment horizontal="center" wrapText="1"/>
    </xf>
    <xf numFmtId="0" fontId="7" fillId="4" borderId="19" xfId="0" applyFont="1" applyFill="1" applyBorder="1" applyAlignment="1">
      <alignment horizontal="center" wrapText="1"/>
    </xf>
    <xf numFmtId="0" fontId="7" fillId="4" borderId="19" xfId="0" applyFont="1" applyFill="1" applyBorder="1" applyAlignment="1">
      <alignment horizontal="left" wrapText="1"/>
    </xf>
    <xf numFmtId="0" fontId="7" fillId="4" borderId="20" xfId="0" applyFont="1" applyFill="1" applyBorder="1" applyAlignment="1">
      <alignment horizontal="left" wrapText="1"/>
    </xf>
    <xf numFmtId="0" fontId="7" fillId="4" borderId="20" xfId="0" applyFont="1" applyFill="1" applyBorder="1" applyAlignment="1">
      <alignment horizontal="right" wrapText="1"/>
    </xf>
    <xf numFmtId="179" fontId="7" fillId="0" borderId="20" xfId="4" applyNumberFormat="1" applyFont="1" applyFill="1" applyBorder="1" applyAlignment="1" applyProtection="1">
      <alignment horizontal="center" wrapText="1"/>
    </xf>
    <xf numFmtId="14" fontId="7" fillId="4" borderId="25" xfId="0" applyNumberFormat="1" applyFont="1" applyFill="1" applyBorder="1" applyAlignment="1">
      <alignment horizontal="center" wrapText="1"/>
    </xf>
    <xf numFmtId="0" fontId="7" fillId="4" borderId="26" xfId="0" applyFont="1" applyFill="1" applyBorder="1" applyAlignment="1">
      <alignment horizontal="left" wrapText="1"/>
    </xf>
    <xf numFmtId="0" fontId="7" fillId="4" borderId="26" xfId="0" applyFont="1" applyFill="1" applyBorder="1" applyAlignment="1">
      <alignment horizontal="center" wrapText="1"/>
    </xf>
    <xf numFmtId="0" fontId="7" fillId="4" borderId="26" xfId="0" applyFont="1" applyFill="1" applyBorder="1" applyAlignment="1">
      <alignment horizontal="center"/>
    </xf>
    <xf numFmtId="14" fontId="7" fillId="4" borderId="26" xfId="0" applyNumberFormat="1" applyFont="1" applyFill="1" applyBorder="1" applyAlignment="1">
      <alignment horizontal="center" shrinkToFit="1"/>
    </xf>
    <xf numFmtId="0" fontId="7" fillId="4" borderId="21" xfId="0" applyFont="1" applyFill="1" applyBorder="1" applyAlignment="1">
      <alignment horizontal="center"/>
    </xf>
    <xf numFmtId="0" fontId="7" fillId="4" borderId="22" xfId="0" applyFont="1" applyFill="1" applyBorder="1" applyAlignment="1">
      <alignment horizontal="center" wrapText="1"/>
    </xf>
    <xf numFmtId="0" fontId="7" fillId="4" borderId="0" xfId="0" applyFont="1" applyFill="1" applyAlignment="1">
      <alignment horizontal="center"/>
    </xf>
    <xf numFmtId="0" fontId="7" fillId="0" borderId="4" xfId="0" applyFont="1" applyFill="1" applyBorder="1" applyAlignment="1">
      <alignment horizontal="center" wrapText="1"/>
    </xf>
    <xf numFmtId="0" fontId="7" fillId="0" borderId="5" xfId="0" applyFont="1" applyFill="1" applyBorder="1" applyAlignment="1">
      <alignment horizontal="center" wrapText="1"/>
    </xf>
    <xf numFmtId="0" fontId="7" fillId="0" borderId="5" xfId="0" applyFont="1" applyFill="1" applyBorder="1" applyAlignment="1">
      <alignment wrapText="1"/>
    </xf>
    <xf numFmtId="178" fontId="7" fillId="0" borderId="26" xfId="4" applyFont="1" applyFill="1" applyBorder="1" applyAlignment="1" applyProtection="1">
      <alignment horizontal="right" wrapText="1"/>
    </xf>
    <xf numFmtId="179" fontId="7" fillId="0" borderId="5" xfId="4" applyNumberFormat="1" applyFont="1" applyFill="1" applyBorder="1" applyAlignment="1" applyProtection="1">
      <alignment horizontal="center" wrapText="1"/>
    </xf>
    <xf numFmtId="14" fontId="7" fillId="0" borderId="27" xfId="0" applyNumberFormat="1" applyFont="1" applyFill="1" applyBorder="1" applyAlignment="1">
      <alignment horizontal="center" wrapText="1"/>
    </xf>
    <xf numFmtId="178" fontId="7" fillId="0" borderId="26" xfId="4" applyFont="1" applyFill="1" applyBorder="1" applyAlignment="1" applyProtection="1">
      <alignment horizontal="left" wrapText="1"/>
    </xf>
    <xf numFmtId="0" fontId="7" fillId="0" borderId="26" xfId="0" applyFont="1" applyFill="1" applyBorder="1" applyAlignment="1"/>
    <xf numFmtId="14" fontId="7" fillId="0" borderId="26" xfId="0" applyNumberFormat="1" applyFont="1" applyFill="1" applyBorder="1" applyAlignment="1">
      <alignment horizontal="center"/>
    </xf>
    <xf numFmtId="179" fontId="7" fillId="0" borderId="5" xfId="4" applyNumberFormat="1" applyFont="1" applyFill="1" applyBorder="1" applyAlignment="1" applyProtection="1">
      <alignment horizontal="center"/>
    </xf>
    <xf numFmtId="0" fontId="7" fillId="0" borderId="7" xfId="0" applyFont="1" applyFill="1" applyBorder="1" applyAlignment="1">
      <alignment horizontal="center" wrapText="1"/>
    </xf>
    <xf numFmtId="178" fontId="7" fillId="0" borderId="5" xfId="4" applyFont="1" applyFill="1" applyBorder="1" applyAlignment="1" applyProtection="1">
      <alignment horizontal="right" wrapText="1"/>
    </xf>
    <xf numFmtId="14" fontId="7" fillId="0" borderId="6" xfId="0" applyNumberFormat="1" applyFont="1" applyFill="1" applyBorder="1" applyAlignment="1">
      <alignment horizontal="center" wrapText="1"/>
    </xf>
    <xf numFmtId="178" fontId="7" fillId="0" borderId="5" xfId="4" applyFont="1" applyFill="1" applyBorder="1" applyAlignment="1" applyProtection="1">
      <alignment horizontal="left" wrapText="1"/>
    </xf>
    <xf numFmtId="0" fontId="7" fillId="0" borderId="5" xfId="0" applyFont="1" applyFill="1" applyBorder="1" applyAlignment="1"/>
    <xf numFmtId="14" fontId="7" fillId="0" borderId="5" xfId="0" applyNumberFormat="1" applyFont="1" applyFill="1" applyBorder="1" applyAlignment="1">
      <alignment horizontal="center"/>
    </xf>
    <xf numFmtId="0" fontId="7" fillId="0" borderId="8" xfId="0" applyFont="1" applyFill="1" applyBorder="1" applyAlignment="1">
      <alignment horizontal="center" wrapText="1"/>
    </xf>
    <xf numFmtId="49" fontId="7" fillId="0" borderId="9" xfId="0" applyNumberFormat="1" applyFont="1" applyFill="1" applyBorder="1" applyAlignment="1">
      <alignment horizontal="center" wrapText="1"/>
    </xf>
    <xf numFmtId="0" fontId="7" fillId="0" borderId="9" xfId="0" applyFont="1" applyFill="1" applyBorder="1" applyAlignment="1">
      <alignment horizontal="center" wrapText="1"/>
    </xf>
    <xf numFmtId="0" fontId="7" fillId="0" borderId="9" xfId="0" applyFont="1" applyFill="1" applyBorder="1" applyAlignment="1">
      <alignment wrapText="1"/>
    </xf>
    <xf numFmtId="178" fontId="7" fillId="0" borderId="9" xfId="4" applyFont="1" applyFill="1" applyBorder="1" applyAlignment="1" applyProtection="1">
      <alignment horizontal="left" wrapText="1"/>
    </xf>
    <xf numFmtId="0" fontId="7" fillId="0" borderId="9" xfId="0" applyFont="1" applyFill="1" applyBorder="1" applyAlignment="1"/>
    <xf numFmtId="14" fontId="7" fillId="0" borderId="9" xfId="0" applyNumberFormat="1" applyFont="1" applyFill="1" applyBorder="1" applyAlignment="1">
      <alignment horizontal="center"/>
    </xf>
    <xf numFmtId="179" fontId="7" fillId="0" borderId="9" xfId="4" applyNumberFormat="1" applyFont="1" applyFill="1" applyBorder="1" applyAlignment="1" applyProtection="1">
      <alignment horizontal="center"/>
    </xf>
    <xf numFmtId="0" fontId="7" fillId="0" borderId="11" xfId="0" applyFont="1" applyFill="1" applyBorder="1" applyAlignment="1">
      <alignment horizontal="center" wrapText="1"/>
    </xf>
    <xf numFmtId="49" fontId="7" fillId="0" borderId="5" xfId="4" applyNumberFormat="1" applyFont="1" applyFill="1" applyBorder="1" applyAlignment="1" applyProtection="1">
      <alignment horizontal="center" wrapText="1"/>
    </xf>
    <xf numFmtId="49" fontId="7" fillId="0" borderId="4" xfId="0" applyNumberFormat="1" applyFont="1" applyFill="1" applyBorder="1" applyAlignment="1">
      <alignment horizontal="center"/>
    </xf>
    <xf numFmtId="0" fontId="7" fillId="0" borderId="5" xfId="0" applyFont="1" applyFill="1" applyBorder="1" applyAlignment="1">
      <alignment horizontal="center"/>
    </xf>
    <xf numFmtId="178" fontId="7" fillId="0" borderId="5" xfId="4" applyFont="1" applyFill="1" applyBorder="1" applyAlignment="1" applyProtection="1">
      <alignment horizontal="right"/>
    </xf>
    <xf numFmtId="14" fontId="7" fillId="0" borderId="6" xfId="0" applyNumberFormat="1" applyFont="1" applyFill="1" applyBorder="1" applyAlignment="1">
      <alignment horizontal="center"/>
    </xf>
    <xf numFmtId="178" fontId="7" fillId="0" borderId="5" xfId="4" applyFont="1" applyFill="1" applyBorder="1" applyAlignment="1" applyProtection="1">
      <alignment horizontal="left"/>
    </xf>
    <xf numFmtId="14" fontId="7" fillId="0" borderId="7" xfId="0" applyNumberFormat="1" applyFont="1" applyFill="1" applyBorder="1" applyAlignment="1">
      <alignment horizontal="center"/>
    </xf>
    <xf numFmtId="49" fontId="7" fillId="0" borderId="5" xfId="0" applyNumberFormat="1" applyFont="1" applyFill="1" applyBorder="1" applyAlignment="1">
      <alignment horizontal="center" wrapText="1"/>
    </xf>
    <xf numFmtId="0" fontId="14" fillId="0" borderId="5" xfId="0" applyFont="1" applyFill="1" applyBorder="1" applyAlignment="1">
      <alignment wrapText="1"/>
    </xf>
    <xf numFmtId="0" fontId="7" fillId="0" borderId="5" xfId="4" applyNumberFormat="1" applyFont="1" applyFill="1" applyBorder="1" applyAlignment="1" applyProtection="1">
      <alignment horizontal="left" wrapText="1"/>
    </xf>
    <xf numFmtId="178" fontId="7" fillId="0" borderId="9" xfId="4" applyFont="1" applyFill="1" applyBorder="1" applyAlignment="1" applyProtection="1">
      <alignment horizontal="center" wrapText="1"/>
    </xf>
    <xf numFmtId="178" fontId="7" fillId="0" borderId="5" xfId="4" applyFont="1" applyFill="1" applyBorder="1" applyAlignment="1" applyProtection="1">
      <alignment horizontal="center" wrapText="1"/>
    </xf>
    <xf numFmtId="0" fontId="7" fillId="0" borderId="8" xfId="0" applyFont="1" applyFill="1" applyBorder="1" applyAlignment="1">
      <alignment horizontal="center"/>
    </xf>
    <xf numFmtId="0" fontId="7" fillId="0" borderId="9" xfId="0" applyFont="1" applyFill="1" applyBorder="1" applyAlignment="1">
      <alignment horizontal="center"/>
    </xf>
    <xf numFmtId="14" fontId="7" fillId="0" borderId="10" xfId="0" applyNumberFormat="1" applyFont="1" applyFill="1" applyBorder="1" applyAlignment="1">
      <alignment horizontal="center" wrapText="1"/>
    </xf>
    <xf numFmtId="0" fontId="7" fillId="0" borderId="12" xfId="0" applyFont="1" applyFill="1" applyBorder="1" applyAlignment="1">
      <alignment horizontal="center" wrapText="1"/>
    </xf>
    <xf numFmtId="0" fontId="7" fillId="0" borderId="13" xfId="0" applyFont="1" applyFill="1" applyBorder="1" applyAlignment="1">
      <alignment horizontal="center" wrapText="1"/>
    </xf>
    <xf numFmtId="0" fontId="7" fillId="0" borderId="13" xfId="0" applyFont="1" applyFill="1" applyBorder="1" applyAlignment="1">
      <alignment wrapText="1"/>
    </xf>
    <xf numFmtId="178" fontId="7" fillId="0" borderId="13" xfId="4" applyFont="1" applyFill="1" applyBorder="1" applyAlignment="1" applyProtection="1">
      <alignment horizontal="right" wrapText="1"/>
    </xf>
    <xf numFmtId="179" fontId="7" fillId="3" borderId="13" xfId="4" applyNumberFormat="1" applyFont="1" applyFill="1" applyBorder="1" applyAlignment="1" applyProtection="1">
      <alignment horizontal="center" wrapText="1"/>
    </xf>
    <xf numFmtId="14" fontId="7" fillId="0" borderId="14" xfId="0" applyNumberFormat="1" applyFont="1" applyFill="1" applyBorder="1" applyAlignment="1">
      <alignment horizontal="center" wrapText="1"/>
    </xf>
    <xf numFmtId="178" fontId="7" fillId="0" borderId="13" xfId="4" applyFont="1" applyFill="1" applyBorder="1" applyAlignment="1" applyProtection="1">
      <alignment horizontal="left" wrapText="1"/>
    </xf>
    <xf numFmtId="0" fontId="7" fillId="0" borderId="13" xfId="0" applyFont="1" applyFill="1" applyBorder="1" applyAlignment="1"/>
    <xf numFmtId="14" fontId="7" fillId="0" borderId="13" xfId="0" applyNumberFormat="1" applyFont="1" applyFill="1" applyBorder="1" applyAlignment="1">
      <alignment horizontal="center"/>
    </xf>
    <xf numFmtId="179" fontId="7" fillId="0" borderId="13" xfId="4" applyNumberFormat="1" applyFont="1" applyFill="1" applyBorder="1" applyAlignment="1" applyProtection="1">
      <alignment horizontal="center"/>
    </xf>
    <xf numFmtId="0" fontId="7" fillId="0" borderId="15" xfId="0" applyFont="1" applyFill="1" applyBorder="1" applyAlignment="1">
      <alignment horizontal="center" wrapText="1"/>
    </xf>
    <xf numFmtId="178" fontId="7" fillId="0" borderId="0" xfId="4" applyFont="1" applyFill="1" applyBorder="1" applyAlignment="1" applyProtection="1"/>
    <xf numFmtId="178" fontId="7" fillId="0" borderId="0" xfId="4" applyFont="1" applyFill="1" applyBorder="1" applyAlignment="1" applyProtection="1">
      <alignment horizontal="center"/>
    </xf>
    <xf numFmtId="14" fontId="7" fillId="0" borderId="0" xfId="4" applyNumberFormat="1" applyFont="1" applyFill="1" applyBorder="1" applyAlignment="1" applyProtection="1"/>
    <xf numFmtId="0" fontId="2" fillId="5" borderId="5" xfId="0" applyFont="1" applyFill="1" applyBorder="1" applyAlignment="1">
      <alignment wrapText="1"/>
    </xf>
    <xf numFmtId="178" fontId="2" fillId="0" borderId="28" xfId="4" applyFont="1" applyFill="1" applyBorder="1" applyAlignment="1" applyProtection="1">
      <alignment horizontal="right" wrapText="1"/>
    </xf>
    <xf numFmtId="178" fontId="2" fillId="0" borderId="29" xfId="4" applyFont="1" applyFill="1" applyBorder="1" applyAlignment="1" applyProtection="1">
      <alignment horizontal="right" wrapText="1"/>
    </xf>
    <xf numFmtId="178" fontId="2" fillId="0" borderId="28" xfId="4" applyFont="1" applyFill="1" applyBorder="1" applyAlignment="1" applyProtection="1">
      <alignment horizontal="right"/>
    </xf>
    <xf numFmtId="0" fontId="17" fillId="6" borderId="5" xfId="0" applyFont="1" applyFill="1" applyBorder="1" applyAlignment="1">
      <alignment wrapText="1"/>
    </xf>
    <xf numFmtId="49" fontId="2" fillId="0" borderId="5" xfId="4" applyNumberFormat="1" applyFont="1" applyFill="1" applyBorder="1" applyAlignment="1" applyProtection="1">
      <alignment horizontal="right" wrapText="1"/>
    </xf>
    <xf numFmtId="49" fontId="2" fillId="0" borderId="5" xfId="4" applyNumberFormat="1" applyFont="1" applyFill="1" applyBorder="1" applyAlignment="1" applyProtection="1">
      <alignment horizontal="right"/>
    </xf>
    <xf numFmtId="49" fontId="2" fillId="0" borderId="13" xfId="4" applyNumberFormat="1" applyFont="1" applyFill="1" applyBorder="1" applyAlignment="1" applyProtection="1">
      <alignment horizontal="right" wrapText="1"/>
    </xf>
    <xf numFmtId="180" fontId="2" fillId="0" borderId="8" xfId="0" applyNumberFormat="1" applyFont="1" applyFill="1" applyBorder="1" applyAlignment="1">
      <alignment horizontal="center" wrapText="1"/>
    </xf>
    <xf numFmtId="178" fontId="7" fillId="0" borderId="0" xfId="4" applyFont="1" applyFill="1" applyBorder="1" applyAlignment="1" applyProtection="1">
      <alignment horizontal="left"/>
    </xf>
    <xf numFmtId="0" fontId="5" fillId="2" borderId="19" xfId="0" applyFont="1" applyFill="1" applyBorder="1" applyAlignment="1">
      <alignment horizontal="center" vertical="center" shrinkToFit="1"/>
    </xf>
    <xf numFmtId="0" fontId="5" fillId="2" borderId="30" xfId="0" applyFont="1" applyFill="1" applyBorder="1"/>
    <xf numFmtId="0" fontId="2" fillId="0" borderId="31" xfId="0" applyFont="1" applyFill="1" applyBorder="1" applyAlignment="1">
      <alignment horizontal="center" wrapText="1"/>
    </xf>
    <xf numFmtId="0" fontId="2" fillId="0" borderId="31" xfId="0" applyFont="1" applyFill="1" applyBorder="1" applyAlignment="1">
      <alignment horizontal="left" wrapText="1"/>
    </xf>
    <xf numFmtId="4" fontId="2" fillId="0" borderId="31" xfId="0" applyNumberFormat="1" applyFont="1" applyFill="1" applyBorder="1" applyAlignment="1">
      <alignment horizontal="right" wrapText="1"/>
    </xf>
    <xf numFmtId="14" fontId="2" fillId="0" borderId="31" xfId="0" applyNumberFormat="1" applyFont="1" applyFill="1" applyBorder="1" applyAlignment="1">
      <alignment horizontal="center" wrapText="1"/>
    </xf>
    <xf numFmtId="0" fontId="2" fillId="0" borderId="31" xfId="0" applyFont="1" applyFill="1" applyBorder="1" applyAlignment="1"/>
    <xf numFmtId="0" fontId="2" fillId="0" borderId="31" xfId="0" applyFont="1" applyFill="1" applyBorder="1" applyAlignment="1">
      <alignment horizontal="center"/>
    </xf>
    <xf numFmtId="0" fontId="2" fillId="0" borderId="31" xfId="0" applyFont="1" applyFill="1" applyBorder="1" applyAlignment="1">
      <alignment wrapText="1"/>
    </xf>
    <xf numFmtId="178" fontId="2" fillId="0" borderId="31" xfId="4" applyFont="1" applyFill="1" applyBorder="1" applyAlignment="1" applyProtection="1">
      <alignment horizontal="right" wrapText="1"/>
    </xf>
    <xf numFmtId="178" fontId="2" fillId="0" borderId="31" xfId="4" applyFont="1" applyFill="1" applyBorder="1" applyAlignment="1" applyProtection="1">
      <alignment horizontal="center" wrapText="1"/>
    </xf>
    <xf numFmtId="14" fontId="2" fillId="0" borderId="31" xfId="0" applyNumberFormat="1" applyFont="1" applyFill="1" applyBorder="1" applyAlignment="1">
      <alignment horizontal="center"/>
    </xf>
    <xf numFmtId="49" fontId="2" fillId="0" borderId="31" xfId="0" applyNumberFormat="1" applyFont="1" applyFill="1" applyBorder="1" applyAlignment="1">
      <alignment horizontal="center" wrapText="1"/>
    </xf>
    <xf numFmtId="14" fontId="11" fillId="0" borderId="31" xfId="0" applyNumberFormat="1" applyFont="1" applyFill="1" applyBorder="1" applyAlignment="1">
      <alignment horizontal="center" wrapText="1"/>
    </xf>
    <xf numFmtId="49" fontId="2" fillId="0" borderId="31" xfId="4" applyNumberFormat="1" applyFont="1" applyFill="1" applyBorder="1" applyAlignment="1" applyProtection="1">
      <alignment horizontal="center" wrapText="1"/>
    </xf>
    <xf numFmtId="4" fontId="2" fillId="0" borderId="31" xfId="4" applyNumberFormat="1" applyFont="1" applyFill="1" applyBorder="1" applyAlignment="1" applyProtection="1">
      <alignment horizontal="right" wrapText="1"/>
    </xf>
    <xf numFmtId="0" fontId="2" fillId="0" borderId="32" xfId="0" applyFont="1" applyFill="1" applyBorder="1" applyAlignment="1">
      <alignment horizontal="center" wrapText="1"/>
    </xf>
    <xf numFmtId="0" fontId="2" fillId="0" borderId="33" xfId="0" applyFont="1" applyFill="1" applyBorder="1" applyAlignment="1">
      <alignment horizontal="center" wrapText="1"/>
    </xf>
    <xf numFmtId="14" fontId="2" fillId="0" borderId="33" xfId="0" applyNumberFormat="1" applyFont="1" applyFill="1" applyBorder="1" applyAlignment="1">
      <alignment horizontal="center" wrapText="1"/>
    </xf>
    <xf numFmtId="0" fontId="2" fillId="0" borderId="34" xfId="0" applyFont="1" applyFill="1" applyBorder="1" applyAlignment="1">
      <alignment horizontal="center" wrapText="1"/>
    </xf>
    <xf numFmtId="0" fontId="2" fillId="0" borderId="35" xfId="0" applyFont="1" applyFill="1" applyBorder="1" applyAlignment="1">
      <alignment horizontal="center" wrapText="1"/>
    </xf>
    <xf numFmtId="0" fontId="2" fillId="0" borderId="36" xfId="0" applyFont="1" applyFill="1" applyBorder="1" applyAlignment="1">
      <alignment horizontal="center" wrapText="1"/>
    </xf>
    <xf numFmtId="180" fontId="2" fillId="0" borderId="35" xfId="0" applyNumberFormat="1" applyFont="1" applyFill="1" applyBorder="1" applyAlignment="1">
      <alignment horizontal="center" wrapText="1"/>
    </xf>
    <xf numFmtId="0" fontId="2" fillId="0" borderId="37" xfId="0" applyFont="1" applyFill="1" applyBorder="1" applyAlignment="1">
      <alignment horizontal="center" wrapText="1"/>
    </xf>
    <xf numFmtId="0" fontId="2" fillId="0" borderId="38" xfId="0" applyFont="1" applyFill="1" applyBorder="1" applyAlignment="1">
      <alignment horizontal="center" wrapText="1"/>
    </xf>
    <xf numFmtId="0" fontId="2" fillId="0" borderId="38" xfId="0" applyFont="1" applyFill="1" applyBorder="1" applyAlignment="1">
      <alignment wrapText="1"/>
    </xf>
    <xf numFmtId="178" fontId="2" fillId="0" borderId="38" xfId="4" applyFont="1" applyFill="1" applyBorder="1" applyAlignment="1" applyProtection="1">
      <alignment horizontal="right" wrapText="1"/>
    </xf>
    <xf numFmtId="14" fontId="2" fillId="0" borderId="38" xfId="0" applyNumberFormat="1" applyFont="1" applyFill="1" applyBorder="1" applyAlignment="1">
      <alignment horizontal="center" wrapText="1"/>
    </xf>
    <xf numFmtId="0" fontId="2" fillId="0" borderId="0" xfId="0" applyFont="1" applyFill="1" applyBorder="1" applyAlignment="1"/>
    <xf numFmtId="0" fontId="2" fillId="0" borderId="0" xfId="0" applyFont="1" applyFill="1" applyBorder="1" applyAlignment="1">
      <alignment horizontal="center"/>
    </xf>
    <xf numFmtId="0" fontId="2" fillId="0" borderId="33" xfId="0" applyFont="1" applyFill="1" applyBorder="1" applyAlignment="1"/>
    <xf numFmtId="14" fontId="2" fillId="0" borderId="31" xfId="0" applyNumberFormat="1" applyFont="1" applyFill="1" applyBorder="1" applyAlignment="1">
      <alignment horizontal="center" shrinkToFit="1"/>
    </xf>
    <xf numFmtId="178" fontId="2" fillId="0" borderId="38" xfId="4" applyFont="1" applyFill="1" applyBorder="1" applyAlignment="1" applyProtection="1">
      <alignment horizontal="center" wrapText="1"/>
    </xf>
    <xf numFmtId="0" fontId="2" fillId="0" borderId="38" xfId="0" applyFont="1" applyFill="1" applyBorder="1" applyAlignment="1"/>
    <xf numFmtId="14" fontId="2" fillId="0" borderId="38" xfId="0" applyNumberFormat="1" applyFont="1" applyFill="1" applyBorder="1" applyAlignment="1">
      <alignment horizontal="center"/>
    </xf>
    <xf numFmtId="0" fontId="2" fillId="0" borderId="39" xfId="0" applyFont="1" applyFill="1" applyBorder="1" applyAlignment="1">
      <alignment horizontal="center" wrapText="1"/>
    </xf>
    <xf numFmtId="0" fontId="2" fillId="0" borderId="33" xfId="0" applyFont="1" applyFill="1" applyBorder="1" applyAlignment="1">
      <alignment wrapText="1"/>
    </xf>
    <xf numFmtId="178" fontId="2" fillId="0" borderId="33" xfId="4" applyFont="1" applyFill="1" applyBorder="1" applyAlignment="1" applyProtection="1">
      <alignment horizontal="right" wrapText="1"/>
    </xf>
    <xf numFmtId="178" fontId="2" fillId="0" borderId="33" xfId="4" applyFont="1" applyFill="1" applyBorder="1" applyAlignment="1" applyProtection="1">
      <alignment horizontal="center" wrapText="1"/>
    </xf>
    <xf numFmtId="14" fontId="2" fillId="0" borderId="33" xfId="0" applyNumberFormat="1" applyFont="1" applyFill="1" applyBorder="1" applyAlignment="1">
      <alignment horizontal="center"/>
    </xf>
    <xf numFmtId="0" fontId="2" fillId="0" borderId="40" xfId="0" applyFont="1" applyFill="1" applyBorder="1" applyAlignment="1">
      <alignment horizontal="center" wrapText="1"/>
    </xf>
    <xf numFmtId="0" fontId="2" fillId="0" borderId="41" xfId="0" applyFont="1" applyFill="1" applyBorder="1" applyAlignment="1">
      <alignment horizontal="center" wrapText="1"/>
    </xf>
    <xf numFmtId="0" fontId="2" fillId="0" borderId="41" xfId="0" applyFont="1" applyFill="1" applyBorder="1" applyAlignment="1">
      <alignment wrapText="1"/>
    </xf>
    <xf numFmtId="178" fontId="2" fillId="0" borderId="41" xfId="4" applyFont="1" applyFill="1" applyBorder="1" applyAlignment="1" applyProtection="1">
      <alignment horizontal="right" wrapText="1"/>
    </xf>
    <xf numFmtId="14" fontId="2" fillId="0" borderId="41" xfId="0" applyNumberFormat="1" applyFont="1" applyFill="1" applyBorder="1" applyAlignment="1">
      <alignment horizontal="center" wrapText="1"/>
    </xf>
    <xf numFmtId="178" fontId="2" fillId="0" borderId="41" xfId="4" applyFont="1" applyFill="1" applyBorder="1" applyAlignment="1" applyProtection="1">
      <alignment horizontal="center" wrapText="1"/>
    </xf>
    <xf numFmtId="0" fontId="2" fillId="0" borderId="41" xfId="0" applyFont="1" applyFill="1" applyBorder="1" applyAlignment="1"/>
    <xf numFmtId="14" fontId="2" fillId="0" borderId="41" xfId="0" applyNumberFormat="1" applyFont="1" applyFill="1" applyBorder="1" applyAlignment="1">
      <alignment horizontal="center"/>
    </xf>
    <xf numFmtId="0" fontId="2" fillId="0" borderId="42" xfId="0" applyFont="1" applyFill="1" applyBorder="1" applyAlignment="1">
      <alignment horizontal="center" wrapText="1"/>
    </xf>
    <xf numFmtId="181" fontId="2" fillId="0" borderId="43" xfId="0" applyNumberFormat="1" applyFont="1" applyBorder="1" applyAlignment="1">
      <alignment horizontal="center"/>
    </xf>
    <xf numFmtId="181" fontId="2" fillId="0" borderId="44" xfId="0" applyNumberFormat="1" applyFont="1" applyBorder="1" applyAlignment="1">
      <alignment horizontal="center"/>
    </xf>
    <xf numFmtId="178" fontId="2" fillId="0" borderId="45" xfId="4" applyFont="1" applyFill="1" applyBorder="1" applyAlignment="1" applyProtection="1">
      <alignment horizontal="center" wrapText="1"/>
    </xf>
    <xf numFmtId="178" fontId="2" fillId="0" borderId="46" xfId="4" applyFont="1" applyFill="1" applyBorder="1" applyAlignment="1" applyProtection="1">
      <alignment horizontal="center" wrapText="1"/>
    </xf>
    <xf numFmtId="0" fontId="2" fillId="0" borderId="46" xfId="0" applyFont="1" applyFill="1" applyBorder="1" applyAlignment="1">
      <alignment horizontal="center" wrapText="1"/>
    </xf>
    <xf numFmtId="0" fontId="2" fillId="0" borderId="47" xfId="0" applyFont="1" applyFill="1" applyBorder="1" applyAlignment="1"/>
    <xf numFmtId="0" fontId="2" fillId="0" borderId="48" xfId="0" applyFont="1" applyFill="1" applyBorder="1" applyAlignment="1"/>
    <xf numFmtId="181" fontId="2" fillId="0" borderId="49" xfId="0" applyNumberFormat="1" applyFont="1" applyBorder="1" applyAlignment="1">
      <alignment horizontal="center"/>
    </xf>
    <xf numFmtId="0" fontId="2" fillId="0" borderId="43" xfId="0" applyFont="1" applyFill="1" applyBorder="1" applyAlignment="1">
      <alignment horizontal="center"/>
    </xf>
    <xf numFmtId="0" fontId="2" fillId="0" borderId="43" xfId="0" applyFont="1" applyFill="1" applyBorder="1" applyAlignment="1"/>
    <xf numFmtId="0" fontId="2" fillId="0" borderId="49" xfId="0" applyFont="1" applyFill="1" applyBorder="1" applyAlignment="1">
      <alignment horizontal="center"/>
    </xf>
    <xf numFmtId="178" fontId="2" fillId="0" borderId="50" xfId="4" applyFont="1" applyFill="1" applyBorder="1" applyAlignment="1" applyProtection="1">
      <alignment horizontal="center" wrapText="1"/>
    </xf>
    <xf numFmtId="0" fontId="2" fillId="0" borderId="51" xfId="0" applyFont="1" applyFill="1" applyBorder="1" applyAlignment="1"/>
    <xf numFmtId="0" fontId="2" fillId="0" borderId="52" xfId="0" applyFont="1" applyBorder="1"/>
    <xf numFmtId="14" fontId="20" fillId="0" borderId="0" xfId="0" applyNumberFormat="1" applyFont="1" applyFill="1"/>
    <xf numFmtId="0" fontId="7" fillId="0" borderId="0" xfId="0" applyFont="1" applyFill="1" applyAlignment="1">
      <alignment horizontal="left"/>
    </xf>
    <xf numFmtId="0" fontId="2" fillId="0" borderId="43" xfId="0" applyFont="1" applyFill="1" applyBorder="1" applyAlignment="1">
      <alignment horizontal="center" wrapText="1"/>
    </xf>
    <xf numFmtId="0" fontId="2" fillId="0" borderId="43" xfId="0" applyFont="1" applyFill="1" applyBorder="1" applyAlignment="1">
      <alignment wrapText="1"/>
    </xf>
    <xf numFmtId="14" fontId="2" fillId="0" borderId="43" xfId="0" applyNumberFormat="1" applyFont="1" applyFill="1" applyBorder="1" applyAlignment="1">
      <alignment horizontal="center"/>
    </xf>
    <xf numFmtId="178" fontId="2" fillId="0" borderId="43" xfId="4" applyFont="1" applyFill="1" applyBorder="1" applyAlignment="1" applyProtection="1">
      <alignment horizontal="center" wrapText="1"/>
    </xf>
    <xf numFmtId="0" fontId="3" fillId="0" borderId="0" xfId="0" applyFont="1" applyFill="1" applyBorder="1" applyAlignment="1">
      <alignment horizontal="center"/>
    </xf>
    <xf numFmtId="14" fontId="3" fillId="0" borderId="0" xfId="0" applyNumberFormat="1" applyFont="1" applyFill="1" applyBorder="1" applyAlignment="1">
      <alignment horizontal="center"/>
    </xf>
    <xf numFmtId="187" fontId="2" fillId="0" borderId="0" xfId="4" applyNumberFormat="1" applyFont="1" applyFill="1" applyBorder="1" applyAlignment="1" applyProtection="1"/>
    <xf numFmtId="187" fontId="21" fillId="0" borderId="0" xfId="4" applyNumberFormat="1" applyFont="1" applyFill="1" applyBorder="1" applyAlignment="1" applyProtection="1">
      <alignment horizontal="right"/>
    </xf>
    <xf numFmtId="187" fontId="22" fillId="0" borderId="0" xfId="1" applyNumberFormat="1" applyFont="1" applyFill="1" applyBorder="1" applyAlignment="1" applyProtection="1"/>
    <xf numFmtId="49" fontId="9" fillId="2" borderId="16" xfId="0" applyNumberFormat="1" applyFont="1" applyFill="1" applyBorder="1" applyAlignment="1">
      <alignment horizontal="center" vertical="center" shrinkToFit="1"/>
    </xf>
    <xf numFmtId="0" fontId="9" fillId="2" borderId="1" xfId="0" applyFont="1" applyFill="1" applyBorder="1" applyAlignment="1">
      <alignment horizontal="center" vertical="top"/>
    </xf>
    <xf numFmtId="0" fontId="0" fillId="0" borderId="0" xfId="0" applyFont="1" applyFill="1" applyAlignment="1">
      <alignment horizontal="center"/>
    </xf>
    <xf numFmtId="0" fontId="9" fillId="7" borderId="53" xfId="0" applyFont="1" applyFill="1" applyBorder="1" applyAlignment="1">
      <alignment horizontal="center"/>
    </xf>
    <xf numFmtId="0" fontId="9" fillId="2" borderId="30" xfId="0" applyFont="1" applyFill="1" applyBorder="1"/>
    <xf numFmtId="49" fontId="9" fillId="2" borderId="54" xfId="0" applyNumberFormat="1" applyFont="1" applyFill="1" applyBorder="1" applyAlignment="1">
      <alignment vertical="center" shrinkToFit="1"/>
    </xf>
    <xf numFmtId="0" fontId="9" fillId="2" borderId="21" xfId="0" applyFont="1" applyFill="1" applyBorder="1" applyAlignment="1">
      <alignment horizontal="center" vertical="top"/>
    </xf>
    <xf numFmtId="0" fontId="0" fillId="0" borderId="55" xfId="0" applyFont="1" applyFill="1" applyBorder="1" applyAlignment="1">
      <alignment horizontal="center" wrapText="1"/>
    </xf>
    <xf numFmtId="0" fontId="0" fillId="0" borderId="55" xfId="0" applyFont="1" applyFill="1" applyBorder="1" applyAlignment="1">
      <alignment wrapText="1"/>
    </xf>
    <xf numFmtId="178" fontId="22" fillId="0" borderId="55" xfId="4" applyFont="1" applyFill="1" applyBorder="1" applyAlignment="1" applyProtection="1">
      <alignment horizontal="right" wrapText="1"/>
    </xf>
    <xf numFmtId="187" fontId="0" fillId="0" borderId="55" xfId="1" applyNumberFormat="1" applyFont="1" applyFill="1" applyBorder="1" applyAlignment="1" applyProtection="1">
      <alignment horizontal="right" wrapText="1"/>
    </xf>
    <xf numFmtId="179" fontId="0" fillId="0" borderId="43" xfId="4" applyNumberFormat="1" applyFont="1" applyFill="1" applyBorder="1" applyAlignment="1" applyProtection="1">
      <alignment horizontal="center" wrapText="1"/>
    </xf>
    <xf numFmtId="14" fontId="0" fillId="0" borderId="55" xfId="0" applyNumberFormat="1" applyFont="1" applyFill="1" applyBorder="1" applyAlignment="1">
      <alignment horizontal="center" wrapText="1"/>
    </xf>
    <xf numFmtId="0" fontId="0" fillId="0" borderId="55" xfId="0" applyFont="1" applyFill="1" applyBorder="1" applyAlignment="1"/>
    <xf numFmtId="14" fontId="0" fillId="0" borderId="55" xfId="0" applyNumberFormat="1" applyFont="1" applyFill="1" applyBorder="1" applyAlignment="1">
      <alignment horizontal="center"/>
    </xf>
    <xf numFmtId="179" fontId="0" fillId="0" borderId="55" xfId="4" applyNumberFormat="1" applyFont="1" applyFill="1" applyBorder="1" applyAlignment="1" applyProtection="1">
      <alignment horizontal="center"/>
    </xf>
    <xf numFmtId="0" fontId="0" fillId="0" borderId="0" xfId="0" applyFont="1" applyFill="1" applyBorder="1" applyAlignment="1">
      <alignment horizontal="center"/>
    </xf>
    <xf numFmtId="0" fontId="0" fillId="0" borderId="49" xfId="0" applyFont="1" applyFill="1" applyBorder="1" applyAlignment="1">
      <alignment horizontal="center" wrapText="1"/>
    </xf>
    <xf numFmtId="0" fontId="0" fillId="0" borderId="49" xfId="0" applyFont="1" applyFill="1" applyBorder="1" applyAlignment="1">
      <alignment wrapText="1"/>
    </xf>
    <xf numFmtId="178" fontId="22" fillId="0" borderId="49" xfId="4" applyFont="1" applyFill="1" applyBorder="1" applyAlignment="1" applyProtection="1">
      <alignment horizontal="right" wrapText="1"/>
    </xf>
    <xf numFmtId="187" fontId="0" fillId="0" borderId="49" xfId="1" applyNumberFormat="1" applyFont="1" applyFill="1" applyBorder="1" applyAlignment="1" applyProtection="1">
      <alignment horizontal="right" wrapText="1"/>
    </xf>
    <xf numFmtId="187" fontId="0" fillId="0" borderId="43" xfId="1" applyNumberFormat="1" applyFont="1" applyFill="1" applyBorder="1" applyAlignment="1" applyProtection="1">
      <alignment horizontal="right" wrapText="1"/>
    </xf>
    <xf numFmtId="14" fontId="0" fillId="0" borderId="49" xfId="0" applyNumberFormat="1" applyFont="1" applyFill="1" applyBorder="1" applyAlignment="1">
      <alignment horizontal="center" wrapText="1"/>
    </xf>
    <xf numFmtId="0" fontId="0" fillId="0" borderId="49" xfId="0" applyFont="1" applyFill="1" applyBorder="1" applyAlignment="1">
      <alignment horizontal="center"/>
    </xf>
    <xf numFmtId="0" fontId="0" fillId="0" borderId="49" xfId="0" applyFont="1" applyFill="1" applyBorder="1" applyAlignment="1"/>
    <xf numFmtId="14" fontId="0" fillId="0" borderId="49" xfId="0" applyNumberFormat="1" applyFont="1" applyFill="1" applyBorder="1" applyAlignment="1"/>
    <xf numFmtId="14" fontId="0" fillId="0" borderId="49" xfId="0" applyNumberFormat="1" applyFont="1" applyFill="1" applyBorder="1" applyAlignment="1">
      <alignment horizontal="center"/>
    </xf>
    <xf numFmtId="0" fontId="0" fillId="0" borderId="49" xfId="0" applyFont="1" applyFill="1" applyBorder="1" applyAlignment="1">
      <alignment horizontal="left" wrapText="1"/>
    </xf>
    <xf numFmtId="4" fontId="22" fillId="0" borderId="49" xfId="0" applyNumberFormat="1" applyFont="1" applyFill="1" applyBorder="1" applyAlignment="1">
      <alignment horizontal="right" wrapText="1"/>
    </xf>
    <xf numFmtId="187" fontId="0" fillId="0" borderId="49" xfId="1" applyNumberFormat="1" applyFont="1" applyFill="1" applyBorder="1" applyAlignment="1">
      <alignment horizontal="right" wrapText="1"/>
    </xf>
    <xf numFmtId="181" fontId="0" fillId="0" borderId="0" xfId="0" applyNumberFormat="1" applyFont="1" applyAlignment="1">
      <alignment horizontal="center"/>
    </xf>
    <xf numFmtId="14" fontId="0" fillId="0" borderId="49" xfId="0" applyNumberFormat="1" applyFont="1" applyFill="1" applyBorder="1" applyAlignment="1">
      <alignment horizontal="center" shrinkToFit="1"/>
    </xf>
    <xf numFmtId="179" fontId="0" fillId="8" borderId="43" xfId="4" applyNumberFormat="1" applyFont="1" applyFill="1" applyBorder="1" applyAlignment="1" applyProtection="1">
      <alignment horizontal="center" wrapText="1"/>
    </xf>
    <xf numFmtId="178" fontId="0" fillId="0" borderId="49" xfId="4" applyFont="1" applyFill="1" applyBorder="1" applyAlignment="1" applyProtection="1">
      <alignment horizontal="center" wrapText="1"/>
    </xf>
    <xf numFmtId="179" fontId="0" fillId="8" borderId="55" xfId="4" applyNumberFormat="1" applyFont="1" applyFill="1" applyBorder="1" applyAlignment="1" applyProtection="1">
      <alignment horizontal="center"/>
    </xf>
    <xf numFmtId="181" fontId="0" fillId="0" borderId="0" xfId="0" applyNumberFormat="1" applyFont="1" applyBorder="1" applyAlignment="1">
      <alignment horizontal="center"/>
    </xf>
    <xf numFmtId="0" fontId="0" fillId="0" borderId="43" xfId="0" applyFont="1" applyFill="1" applyBorder="1" applyAlignment="1">
      <alignment horizontal="center" wrapText="1"/>
    </xf>
    <xf numFmtId="49" fontId="0" fillId="0" borderId="43" xfId="0" applyNumberFormat="1" applyFont="1" applyFill="1" applyBorder="1" applyAlignment="1">
      <alignment horizontal="center" wrapText="1"/>
    </xf>
    <xf numFmtId="0" fontId="0" fillId="0" borderId="43" xfId="0" applyFont="1" applyFill="1" applyBorder="1" applyAlignment="1">
      <alignment wrapText="1"/>
    </xf>
    <xf numFmtId="178" fontId="22" fillId="0" borderId="43" xfId="4" applyFont="1" applyFill="1" applyBorder="1" applyAlignment="1" applyProtection="1">
      <alignment horizontal="right" wrapText="1"/>
    </xf>
    <xf numFmtId="14" fontId="0" fillId="0" borderId="43" xfId="0" applyNumberFormat="1" applyFont="1" applyFill="1" applyBorder="1" applyAlignment="1">
      <alignment horizontal="center" wrapText="1"/>
    </xf>
    <xf numFmtId="178" fontId="0" fillId="0" borderId="43" xfId="4" applyFont="1" applyFill="1" applyBorder="1" applyAlignment="1" applyProtection="1">
      <alignment horizontal="center" wrapText="1"/>
    </xf>
    <xf numFmtId="0" fontId="0" fillId="0" borderId="43" xfId="0" applyFont="1" applyFill="1" applyBorder="1" applyAlignment="1"/>
    <xf numFmtId="14" fontId="0" fillId="0" borderId="43" xfId="0" applyNumberFormat="1" applyFont="1" applyFill="1" applyBorder="1" applyAlignment="1"/>
    <xf numFmtId="14" fontId="0" fillId="0" borderId="43" xfId="0" applyNumberFormat="1" applyFont="1" applyFill="1" applyBorder="1" applyAlignment="1">
      <alignment horizontal="center"/>
    </xf>
    <xf numFmtId="0" fontId="0" fillId="0" borderId="0" xfId="0" applyFont="1" applyFill="1"/>
    <xf numFmtId="14" fontId="23" fillId="0" borderId="43" xfId="0" applyNumberFormat="1" applyFont="1" applyFill="1" applyBorder="1" applyAlignment="1">
      <alignment horizontal="center" wrapText="1"/>
    </xf>
    <xf numFmtId="0" fontId="0" fillId="0" borderId="43" xfId="0" applyFont="1" applyFill="1" applyBorder="1" applyAlignment="1">
      <alignment horizontal="center"/>
    </xf>
    <xf numFmtId="0" fontId="0" fillId="0" borderId="0" xfId="0" applyFont="1" applyFill="1" applyBorder="1" applyAlignment="1"/>
    <xf numFmtId="0" fontId="0" fillId="0" borderId="43" xfId="0" applyFont="1" applyFill="1" applyBorder="1" applyAlignment="1">
      <alignment horizontal="left" wrapText="1"/>
    </xf>
    <xf numFmtId="4" fontId="22" fillId="0" borderId="43" xfId="0" applyNumberFormat="1" applyFont="1" applyFill="1" applyBorder="1" applyAlignment="1">
      <alignment horizontal="right" wrapText="1"/>
    </xf>
    <xf numFmtId="187" fontId="0" fillId="0" borderId="43" xfId="1" applyNumberFormat="1" applyFont="1" applyFill="1" applyBorder="1" applyAlignment="1">
      <alignment horizontal="right" wrapText="1"/>
    </xf>
    <xf numFmtId="181" fontId="0" fillId="0" borderId="43" xfId="0" applyNumberFormat="1" applyFont="1" applyBorder="1" applyAlignment="1">
      <alignment horizontal="center"/>
    </xf>
    <xf numFmtId="14" fontId="0" fillId="0" borderId="43" xfId="0" applyNumberFormat="1" applyFont="1" applyFill="1" applyBorder="1" applyAlignment="1">
      <alignment horizontal="center" shrinkToFit="1"/>
    </xf>
    <xf numFmtId="0" fontId="0" fillId="0" borderId="43" xfId="4" applyNumberFormat="1" applyFont="1" applyFill="1" applyBorder="1" applyAlignment="1" applyProtection="1">
      <alignment horizontal="center" wrapText="1"/>
    </xf>
    <xf numFmtId="0" fontId="23" fillId="0" borderId="43" xfId="0" applyFont="1" applyBorder="1" applyAlignment="1">
      <alignment horizontal="center"/>
    </xf>
    <xf numFmtId="179" fontId="18" fillId="9" borderId="43" xfId="4" applyNumberFormat="1" applyFont="1" applyFill="1" applyBorder="1" applyAlignment="1" applyProtection="1">
      <alignment horizontal="center" wrapText="1"/>
    </xf>
    <xf numFmtId="14" fontId="0" fillId="9" borderId="43" xfId="0" applyNumberFormat="1" applyFont="1" applyFill="1" applyBorder="1" applyAlignment="1"/>
    <xf numFmtId="180" fontId="0" fillId="0" borderId="43" xfId="0" applyNumberFormat="1" applyFont="1" applyFill="1" applyBorder="1" applyAlignment="1">
      <alignment horizontal="center" wrapText="1"/>
    </xf>
    <xf numFmtId="49" fontId="0" fillId="0" borderId="43" xfId="4" applyNumberFormat="1" applyFont="1" applyFill="1" applyBorder="1" applyAlignment="1" applyProtection="1">
      <alignment horizontal="center" wrapText="1"/>
    </xf>
    <xf numFmtId="4" fontId="22" fillId="0" borderId="43" xfId="4" applyNumberFormat="1" applyFont="1" applyFill="1" applyBorder="1" applyAlignment="1" applyProtection="1">
      <alignment horizontal="right" wrapText="1"/>
    </xf>
    <xf numFmtId="0" fontId="0" fillId="0" borderId="43" xfId="0" applyFont="1" applyFill="1" applyBorder="1"/>
    <xf numFmtId="14" fontId="0" fillId="0" borderId="43" xfId="4" applyNumberFormat="1" applyFont="1" applyFill="1" applyBorder="1" applyAlignment="1" applyProtection="1">
      <alignment horizontal="center"/>
    </xf>
    <xf numFmtId="0" fontId="0" fillId="0" borderId="43" xfId="0" applyFill="1" applyBorder="1" applyAlignment="1">
      <alignment horizontal="center" wrapText="1"/>
    </xf>
    <xf numFmtId="0" fontId="0" fillId="10" borderId="43" xfId="0" applyFill="1" applyBorder="1" applyAlignment="1">
      <alignment horizontal="center" wrapText="1"/>
    </xf>
    <xf numFmtId="49" fontId="0" fillId="10" borderId="43" xfId="0" applyNumberFormat="1" applyFont="1" applyFill="1" applyBorder="1" applyAlignment="1">
      <alignment horizontal="center" wrapText="1"/>
    </xf>
    <xf numFmtId="0" fontId="0" fillId="10" borderId="43" xfId="0" applyFont="1" applyFill="1" applyBorder="1" applyAlignment="1">
      <alignment horizontal="center" wrapText="1"/>
    </xf>
    <xf numFmtId="0" fontId="0" fillId="10" borderId="43" xfId="0" applyFill="1" applyBorder="1" applyAlignment="1">
      <alignment wrapText="1"/>
    </xf>
    <xf numFmtId="178" fontId="22" fillId="10" borderId="43" xfId="4" applyFont="1" applyFill="1" applyBorder="1" applyAlignment="1" applyProtection="1">
      <alignment horizontal="right" wrapText="1"/>
    </xf>
    <xf numFmtId="14" fontId="0" fillId="10" borderId="43" xfId="0" applyNumberFormat="1" applyFont="1" applyFill="1" applyBorder="1" applyAlignment="1">
      <alignment horizontal="center" wrapText="1"/>
    </xf>
    <xf numFmtId="181" fontId="0" fillId="10" borderId="43" xfId="0" applyNumberFormat="1" applyFont="1" applyFill="1" applyBorder="1" applyAlignment="1">
      <alignment horizontal="center"/>
    </xf>
    <xf numFmtId="0" fontId="0" fillId="10" borderId="43" xfId="0" applyFont="1" applyFill="1" applyBorder="1" applyAlignment="1"/>
    <xf numFmtId="14" fontId="0" fillId="10" borderId="43" xfId="0" applyNumberFormat="1" applyFont="1" applyFill="1" applyBorder="1" applyAlignment="1"/>
    <xf numFmtId="14" fontId="0" fillId="10" borderId="43" xfId="0" applyNumberFormat="1" applyFont="1" applyFill="1" applyBorder="1" applyAlignment="1">
      <alignment horizontal="center"/>
    </xf>
    <xf numFmtId="0" fontId="0" fillId="0" borderId="43" xfId="0" applyFill="1" applyBorder="1" applyAlignment="1">
      <alignment horizontal="left" wrapText="1"/>
    </xf>
    <xf numFmtId="0" fontId="0" fillId="0" borderId="35" xfId="0" applyFont="1" applyFill="1" applyBorder="1" applyAlignment="1">
      <alignment horizontal="center" wrapText="1"/>
    </xf>
    <xf numFmtId="0" fontId="0" fillId="0" borderId="31" xfId="0" applyFont="1" applyFill="1" applyBorder="1" applyAlignment="1">
      <alignment horizontal="center" wrapText="1"/>
    </xf>
    <xf numFmtId="0" fontId="0" fillId="0" borderId="31" xfId="0" applyFont="1" applyFill="1" applyBorder="1" applyAlignment="1">
      <alignment wrapText="1"/>
    </xf>
    <xf numFmtId="187" fontId="0" fillId="0" borderId="31" xfId="1" applyNumberFormat="1" applyFont="1" applyFill="1" applyBorder="1" applyAlignment="1" applyProtection="1">
      <alignment horizontal="right" wrapText="1"/>
    </xf>
    <xf numFmtId="187" fontId="0" fillId="0" borderId="0" xfId="1" applyNumberFormat="1" applyFont="1" applyFill="1" applyBorder="1" applyAlignment="1" applyProtection="1">
      <alignment horizontal="right" wrapText="1"/>
    </xf>
    <xf numFmtId="187" fontId="0" fillId="0" borderId="36" xfId="1" applyNumberFormat="1" applyFont="1" applyFill="1" applyBorder="1" applyAlignment="1" applyProtection="1">
      <alignment horizontal="right" wrapText="1"/>
    </xf>
    <xf numFmtId="179" fontId="0" fillId="0" borderId="0" xfId="4" applyNumberFormat="1" applyFont="1" applyFill="1" applyBorder="1" applyAlignment="1" applyProtection="1">
      <alignment horizontal="center" wrapText="1"/>
    </xf>
    <xf numFmtId="178" fontId="0" fillId="0" borderId="31" xfId="4" applyFont="1" applyFill="1" applyBorder="1" applyAlignment="1" applyProtection="1">
      <alignment horizontal="center" wrapText="1"/>
    </xf>
    <xf numFmtId="14" fontId="0" fillId="0" borderId="31" xfId="0" applyNumberFormat="1" applyFont="1" applyFill="1" applyBorder="1" applyAlignment="1">
      <alignment horizontal="center"/>
    </xf>
    <xf numFmtId="14" fontId="2" fillId="0" borderId="43" xfId="0" applyNumberFormat="1" applyFont="1" applyFill="1" applyBorder="1" applyAlignment="1"/>
    <xf numFmtId="180" fontId="0" fillId="0" borderId="43" xfId="0" applyNumberFormat="1" applyFill="1" applyBorder="1" applyAlignment="1">
      <alignment horizontal="center" wrapText="1"/>
    </xf>
    <xf numFmtId="0" fontId="0" fillId="0" borderId="43" xfId="0" applyFill="1" applyBorder="1" applyAlignment="1">
      <alignment wrapText="1"/>
    </xf>
    <xf numFmtId="49" fontId="0" fillId="0" borderId="55" xfId="0" applyNumberFormat="1" applyFont="1" applyFill="1" applyBorder="1" applyAlignment="1">
      <alignment horizontal="center" wrapText="1"/>
    </xf>
    <xf numFmtId="0" fontId="0" fillId="0" borderId="43" xfId="0" applyFill="1" applyBorder="1" applyAlignment="1">
      <alignment horizontal="center"/>
    </xf>
    <xf numFmtId="176" fontId="0" fillId="0" borderId="43" xfId="1" applyFont="1" applyFill="1" applyBorder="1" applyAlignment="1">
      <alignment horizontal="center"/>
    </xf>
    <xf numFmtId="176" fontId="0" fillId="0" borderId="43" xfId="1" applyFont="1" applyFill="1" applyBorder="1" applyAlignment="1">
      <alignment horizontal="center" wrapText="1"/>
    </xf>
    <xf numFmtId="0" fontId="3" fillId="0" borderId="0" xfId="0" applyFont="1" applyAlignment="1">
      <alignment horizontal="right"/>
    </xf>
    <xf numFmtId="14" fontId="3" fillId="0" borderId="0" xfId="0" applyNumberFormat="1" applyFont="1" applyAlignment="1">
      <alignment horizontal="right"/>
    </xf>
    <xf numFmtId="179" fontId="18" fillId="9" borderId="55" xfId="4" applyNumberFormat="1" applyFont="1" applyFill="1" applyBorder="1" applyAlignment="1" applyProtection="1">
      <alignment horizontal="center"/>
    </xf>
    <xf numFmtId="14" fontId="0" fillId="0" borderId="41" xfId="0" applyNumberFormat="1" applyFont="1" applyFill="1" applyBorder="1" applyAlignment="1">
      <alignment horizontal="center" wrapText="1"/>
    </xf>
    <xf numFmtId="178" fontId="0" fillId="0" borderId="41" xfId="4" applyFont="1" applyFill="1" applyBorder="1" applyAlignment="1" applyProtection="1">
      <alignment horizontal="center" wrapText="1"/>
    </xf>
    <xf numFmtId="178" fontId="18" fillId="0" borderId="43" xfId="4" applyFont="1" applyFill="1" applyBorder="1" applyAlignment="1" applyProtection="1">
      <alignment horizontal="center" wrapText="1"/>
    </xf>
    <xf numFmtId="187" fontId="18" fillId="0" borderId="43" xfId="1" applyNumberFormat="1" applyFont="1" applyFill="1" applyBorder="1" applyAlignment="1" applyProtection="1">
      <alignment horizontal="right" wrapText="1"/>
    </xf>
    <xf numFmtId="179" fontId="18" fillId="0" borderId="43" xfId="4" applyNumberFormat="1" applyFont="1" applyFill="1" applyBorder="1" applyAlignment="1" applyProtection="1">
      <alignment horizontal="center" wrapText="1"/>
    </xf>
    <xf numFmtId="181" fontId="0" fillId="0" borderId="43" xfId="0" applyNumberFormat="1" applyFont="1" applyFill="1" applyBorder="1" applyAlignment="1">
      <alignment horizontal="center"/>
    </xf>
    <xf numFmtId="179" fontId="18" fillId="0" borderId="55" xfId="4" applyNumberFormat="1" applyFont="1" applyFill="1" applyBorder="1" applyAlignment="1" applyProtection="1">
      <alignment horizontal="center"/>
    </xf>
    <xf numFmtId="181" fontId="0" fillId="0" borderId="43" xfId="0" applyNumberFormat="1" applyBorder="1" applyAlignment="1">
      <alignment horizontal="center"/>
    </xf>
    <xf numFmtId="178" fontId="22" fillId="0" borderId="31" xfId="4" applyFont="1" applyFill="1" applyBorder="1" applyAlignment="1" applyProtection="1">
      <alignment horizontal="right" wrapText="1"/>
    </xf>
    <xf numFmtId="0" fontId="0" fillId="11" borderId="43" xfId="0" applyFont="1" applyFill="1" applyBorder="1" applyAlignment="1">
      <alignment horizontal="center" wrapText="1"/>
    </xf>
    <xf numFmtId="0" fontId="0" fillId="11" borderId="43" xfId="0" applyFont="1" applyFill="1" applyBorder="1" applyAlignment="1">
      <alignment wrapText="1"/>
    </xf>
    <xf numFmtId="0" fontId="0" fillId="11" borderId="43" xfId="0" applyFont="1" applyFill="1" applyBorder="1" applyAlignment="1"/>
    <xf numFmtId="178" fontId="22" fillId="11" borderId="43" xfId="4" applyFont="1" applyFill="1" applyBorder="1" applyAlignment="1" applyProtection="1">
      <alignment horizontal="right" wrapText="1"/>
    </xf>
    <xf numFmtId="187" fontId="18" fillId="11" borderId="43" xfId="1" applyNumberFormat="1" applyFont="1" applyFill="1" applyBorder="1" applyAlignment="1" applyProtection="1">
      <alignment horizontal="right" wrapText="1"/>
    </xf>
    <xf numFmtId="179" fontId="18" fillId="11" borderId="43" xfId="4" applyNumberFormat="1" applyFont="1" applyFill="1" applyBorder="1" applyAlignment="1" applyProtection="1">
      <alignment horizontal="center" wrapText="1"/>
    </xf>
    <xf numFmtId="14" fontId="0" fillId="11" borderId="43" xfId="0" applyNumberFormat="1" applyFont="1" applyFill="1" applyBorder="1" applyAlignment="1">
      <alignment horizontal="center" wrapText="1"/>
    </xf>
    <xf numFmtId="0" fontId="18" fillId="11" borderId="43" xfId="4" applyNumberFormat="1" applyFont="1" applyFill="1" applyBorder="1" applyAlignment="1" applyProtection="1">
      <alignment horizontal="center" wrapText="1"/>
    </xf>
    <xf numFmtId="0" fontId="23" fillId="11" borderId="43" xfId="0" applyFont="1" applyFill="1" applyBorder="1" applyAlignment="1">
      <alignment horizontal="center"/>
    </xf>
    <xf numFmtId="14" fontId="0" fillId="11" borderId="43" xfId="0" applyNumberFormat="1" applyFont="1" applyFill="1" applyBorder="1" applyAlignment="1">
      <alignment horizontal="center"/>
    </xf>
    <xf numFmtId="179" fontId="18" fillId="11" borderId="55" xfId="4" applyNumberFormat="1" applyFont="1" applyFill="1" applyBorder="1" applyAlignment="1" applyProtection="1">
      <alignment horizontal="center"/>
    </xf>
    <xf numFmtId="0" fontId="0" fillId="11" borderId="0" xfId="0" applyFont="1" applyFill="1" applyBorder="1" applyAlignment="1"/>
    <xf numFmtId="49" fontId="9" fillId="2" borderId="54" xfId="0" applyNumberFormat="1" applyFont="1" applyFill="1" applyBorder="1" applyAlignment="1">
      <alignment horizontal="center" vertical="center" shrinkToFit="1"/>
    </xf>
    <xf numFmtId="0" fontId="0" fillId="10" borderId="43" xfId="0" applyFont="1" applyFill="1" applyBorder="1" applyAlignment="1">
      <alignment wrapText="1"/>
    </xf>
    <xf numFmtId="187" fontId="18" fillId="10" borderId="43" xfId="1" applyNumberFormat="1" applyFont="1" applyFill="1" applyBorder="1" applyAlignment="1" applyProtection="1">
      <alignment horizontal="right" wrapText="1"/>
    </xf>
    <xf numFmtId="179" fontId="18" fillId="10" borderId="43" xfId="4" applyNumberFormat="1" applyFont="1" applyFill="1" applyBorder="1" applyAlignment="1" applyProtection="1">
      <alignment horizontal="center" wrapText="1"/>
    </xf>
    <xf numFmtId="178" fontId="18" fillId="10" borderId="43" xfId="4" applyFont="1" applyFill="1" applyBorder="1" applyAlignment="1" applyProtection="1">
      <alignment horizontal="center" wrapText="1"/>
    </xf>
    <xf numFmtId="179" fontId="18" fillId="10" borderId="55" xfId="4" applyNumberFormat="1" applyFont="1" applyFill="1" applyBorder="1" applyAlignment="1" applyProtection="1">
      <alignment horizontal="center"/>
    </xf>
    <xf numFmtId="0" fontId="24" fillId="0" borderId="56" xfId="0" applyFont="1" applyBorder="1" applyAlignment="1"/>
    <xf numFmtId="0" fontId="9" fillId="2" borderId="16" xfId="0" applyFont="1" applyFill="1" applyBorder="1" applyAlignment="1">
      <alignment horizontal="center" vertical="center" wrapText="1"/>
    </xf>
    <xf numFmtId="0" fontId="9" fillId="2" borderId="19" xfId="0" applyFont="1" applyFill="1" applyBorder="1" applyAlignment="1">
      <alignment horizontal="center" vertical="center" wrapText="1"/>
    </xf>
    <xf numFmtId="4" fontId="0" fillId="0" borderId="43" xfId="0" applyNumberFormat="1" applyFont="1" applyFill="1" applyBorder="1" applyAlignment="1">
      <alignment horizontal="center" wrapText="1"/>
    </xf>
    <xf numFmtId="4" fontId="0" fillId="0" borderId="49" xfId="0" applyNumberFormat="1" applyFont="1" applyFill="1" applyBorder="1" applyAlignment="1">
      <alignment horizontal="center" wrapText="1"/>
    </xf>
    <xf numFmtId="176" fontId="1" fillId="0" borderId="43" xfId="1" applyFill="1" applyBorder="1" applyAlignment="1"/>
    <xf numFmtId="0" fontId="40" fillId="0" borderId="43" xfId="0" applyFont="1" applyBorder="1"/>
    <xf numFmtId="0" fontId="0" fillId="0" borderId="49" xfId="0" applyFill="1" applyBorder="1" applyAlignment="1">
      <alignment horizontal="center" wrapText="1"/>
    </xf>
    <xf numFmtId="3" fontId="0" fillId="0" borderId="43" xfId="0" applyNumberFormat="1" applyFont="1" applyFill="1" applyBorder="1" applyAlignment="1">
      <alignment horizontal="center" wrapText="1"/>
    </xf>
    <xf numFmtId="0" fontId="0" fillId="0" borderId="55" xfId="0" applyFont="1" applyFill="1" applyBorder="1" applyAlignment="1">
      <alignment horizontal="center"/>
    </xf>
    <xf numFmtId="14" fontId="0" fillId="0" borderId="55" xfId="4" applyNumberFormat="1" applyFont="1" applyFill="1" applyBorder="1" applyAlignment="1" applyProtection="1">
      <alignment horizontal="center"/>
    </xf>
    <xf numFmtId="0" fontId="4" fillId="0" borderId="0" xfId="0" applyFont="1" applyAlignment="1">
      <alignment horizontal="right"/>
    </xf>
    <xf numFmtId="14" fontId="4" fillId="0" borderId="0" xfId="0" applyNumberFormat="1" applyFont="1" applyAlignment="1">
      <alignment horizontal="right"/>
    </xf>
    <xf numFmtId="0" fontId="0" fillId="0" borderId="55" xfId="0" applyFont="1" applyFill="1" applyBorder="1"/>
    <xf numFmtId="14" fontId="23" fillId="0" borderId="0" xfId="0" applyNumberFormat="1" applyFont="1" applyFill="1" applyBorder="1" applyAlignment="1">
      <alignment horizontal="center" wrapText="1"/>
    </xf>
    <xf numFmtId="17" fontId="0" fillId="0" borderId="43" xfId="0" applyNumberFormat="1" applyFont="1" applyFill="1" applyBorder="1" applyAlignment="1">
      <alignment horizontal="center" wrapText="1"/>
    </xf>
    <xf numFmtId="0" fontId="0" fillId="0" borderId="57" xfId="0" applyFont="1" applyFill="1" applyBorder="1" applyAlignment="1">
      <alignment wrapText="1"/>
    </xf>
    <xf numFmtId="0" fontId="0" fillId="0" borderId="48" xfId="0" applyFont="1" applyFill="1" applyBorder="1" applyAlignment="1">
      <alignment wrapText="1"/>
    </xf>
    <xf numFmtId="14" fontId="3" fillId="0" borderId="0" xfId="0" applyNumberFormat="1" applyFont="1" applyFill="1" applyBorder="1" applyAlignment="1">
      <alignment horizontal="right"/>
    </xf>
    <xf numFmtId="49" fontId="0" fillId="0" borderId="49" xfId="0" applyNumberFormat="1" applyFont="1" applyFill="1" applyBorder="1" applyAlignment="1">
      <alignment horizontal="center" wrapText="1"/>
    </xf>
    <xf numFmtId="0" fontId="9" fillId="7" borderId="16" xfId="0" applyFont="1" applyFill="1" applyBorder="1" applyAlignment="1"/>
    <xf numFmtId="0" fontId="9" fillId="7" borderId="16" xfId="0" applyFont="1" applyFill="1" applyBorder="1" applyAlignment="1">
      <alignment horizontal="center"/>
    </xf>
    <xf numFmtId="0" fontId="9" fillId="2" borderId="17" xfId="0" applyFont="1" applyFill="1" applyBorder="1" applyAlignment="1">
      <alignment horizontal="center" vertical="center" wrapText="1"/>
    </xf>
    <xf numFmtId="0" fontId="9" fillId="7" borderId="17" xfId="0" applyFont="1" applyFill="1" applyBorder="1" applyAlignment="1"/>
    <xf numFmtId="0" fontId="9" fillId="7" borderId="17" xfId="0" applyFont="1" applyFill="1" applyBorder="1" applyAlignment="1">
      <alignment horizontal="center"/>
    </xf>
    <xf numFmtId="14" fontId="0" fillId="0" borderId="58" xfId="0" applyNumberFormat="1" applyFont="1" applyFill="1" applyBorder="1" applyAlignment="1">
      <alignment horizontal="center" wrapText="1"/>
    </xf>
    <xf numFmtId="0" fontId="0" fillId="0" borderId="59" xfId="0" applyFont="1" applyFill="1" applyBorder="1" applyAlignment="1">
      <alignment horizontal="center" wrapText="1"/>
    </xf>
    <xf numFmtId="0" fontId="0" fillId="0" borderId="59" xfId="0" applyFont="1" applyFill="1" applyBorder="1" applyAlignment="1">
      <alignment wrapText="1"/>
    </xf>
    <xf numFmtId="4" fontId="0" fillId="0" borderId="59" xfId="0" applyNumberFormat="1" applyFont="1" applyFill="1" applyBorder="1" applyAlignment="1">
      <alignment horizontal="center" wrapText="1"/>
    </xf>
    <xf numFmtId="178" fontId="22" fillId="0" borderId="59" xfId="4" applyFont="1" applyFill="1" applyBorder="1" applyAlignment="1" applyProtection="1">
      <alignment horizontal="right" wrapText="1"/>
    </xf>
    <xf numFmtId="187" fontId="0" fillId="0" borderId="59" xfId="1" applyNumberFormat="1" applyFont="1" applyFill="1" applyBorder="1" applyAlignment="1" applyProtection="1">
      <alignment horizontal="right" wrapText="1"/>
    </xf>
    <xf numFmtId="14" fontId="0" fillId="0" borderId="59" xfId="0" applyNumberFormat="1" applyFont="1" applyFill="1" applyBorder="1" applyAlignment="1">
      <alignment horizontal="center" wrapText="1"/>
    </xf>
    <xf numFmtId="0" fontId="12" fillId="0" borderId="0" xfId="0" applyFont="1" applyFill="1"/>
    <xf numFmtId="0" fontId="12" fillId="0" borderId="0" xfId="0" applyFont="1" applyFill="1" applyAlignment="1">
      <alignment horizontal="center"/>
    </xf>
    <xf numFmtId="178" fontId="12" fillId="0" borderId="0" xfId="4" applyFont="1" applyFill="1" applyBorder="1" applyAlignment="1" applyProtection="1"/>
    <xf numFmtId="14" fontId="12" fillId="0" borderId="0" xfId="0" applyNumberFormat="1" applyFont="1" applyFill="1"/>
    <xf numFmtId="0" fontId="3" fillId="0" borderId="0" xfId="0" applyFont="1" applyFill="1"/>
    <xf numFmtId="0" fontId="0" fillId="0" borderId="60" xfId="0" applyFont="1" applyFill="1" applyBorder="1" applyAlignment="1">
      <alignment horizontal="center"/>
    </xf>
    <xf numFmtId="181" fontId="0" fillId="0" borderId="57" xfId="0" applyNumberFormat="1" applyFont="1" applyBorder="1" applyAlignment="1">
      <alignment horizontal="center"/>
    </xf>
    <xf numFmtId="0" fontId="0" fillId="0" borderId="57" xfId="0" applyFont="1" applyFill="1" applyBorder="1" applyAlignment="1">
      <alignment horizontal="center"/>
    </xf>
    <xf numFmtId="0" fontId="23" fillId="0" borderId="57" xfId="0" applyFont="1" applyBorder="1" applyAlignment="1">
      <alignment horizontal="center"/>
    </xf>
    <xf numFmtId="181" fontId="0" fillId="0" borderId="57" xfId="0" applyNumberFormat="1" applyFont="1" applyFill="1" applyBorder="1" applyAlignment="1">
      <alignment horizontal="center"/>
    </xf>
    <xf numFmtId="0" fontId="23" fillId="11" borderId="57" xfId="0" applyFont="1" applyFill="1" applyBorder="1" applyAlignment="1">
      <alignment horizontal="center"/>
    </xf>
    <xf numFmtId="181" fontId="0" fillId="0" borderId="57" xfId="0" applyNumberFormat="1" applyBorder="1" applyAlignment="1">
      <alignment horizontal="center"/>
    </xf>
    <xf numFmtId="0" fontId="40" fillId="0" borderId="57" xfId="0" applyFont="1" applyBorder="1"/>
    <xf numFmtId="0" fontId="0" fillId="0" borderId="61" xfId="0" applyFont="1" applyFill="1" applyBorder="1" applyAlignment="1">
      <alignment horizontal="center" wrapText="1"/>
    </xf>
    <xf numFmtId="0" fontId="0" fillId="0" borderId="62" xfId="0" applyFont="1" applyFill="1" applyBorder="1" applyAlignment="1">
      <alignment horizontal="center"/>
    </xf>
    <xf numFmtId="0" fontId="0" fillId="0" borderId="63" xfId="0" applyFont="1" applyFill="1" applyBorder="1" applyAlignment="1">
      <alignment horizontal="center" wrapText="1"/>
    </xf>
    <xf numFmtId="178" fontId="0" fillId="0" borderId="64" xfId="4" applyFont="1" applyFill="1" applyBorder="1" applyAlignment="1" applyProtection="1">
      <alignment horizontal="center" wrapText="1"/>
    </xf>
    <xf numFmtId="178" fontId="0" fillId="0" borderId="62" xfId="4" applyFont="1" applyFill="1" applyBorder="1" applyAlignment="1" applyProtection="1">
      <alignment horizontal="center" wrapText="1"/>
    </xf>
    <xf numFmtId="0" fontId="0" fillId="0" borderId="64" xfId="0" applyFont="1" applyFill="1" applyBorder="1" applyAlignment="1">
      <alignment horizontal="center" wrapText="1"/>
    </xf>
    <xf numFmtId="0" fontId="0" fillId="0" borderId="64" xfId="4" applyNumberFormat="1" applyFont="1" applyFill="1" applyBorder="1" applyAlignment="1" applyProtection="1">
      <alignment horizontal="center" wrapText="1"/>
    </xf>
    <xf numFmtId="0" fontId="0" fillId="0" borderId="64" xfId="0" applyFont="1" applyFill="1" applyBorder="1" applyAlignment="1">
      <alignment horizontal="center"/>
    </xf>
    <xf numFmtId="0" fontId="0" fillId="0" borderId="64" xfId="0" applyFill="1" applyBorder="1" applyAlignment="1">
      <alignment horizontal="center"/>
    </xf>
    <xf numFmtId="178" fontId="18" fillId="0" borderId="64" xfId="4" applyFont="1" applyFill="1" applyBorder="1" applyAlignment="1" applyProtection="1">
      <alignment horizontal="center" wrapText="1"/>
    </xf>
    <xf numFmtId="0" fontId="0" fillId="0" borderId="63" xfId="0" applyFill="1" applyBorder="1" applyAlignment="1">
      <alignment horizontal="center" wrapText="1"/>
    </xf>
    <xf numFmtId="180" fontId="0" fillId="0" borderId="63" xfId="0" applyNumberFormat="1" applyFill="1" applyBorder="1" applyAlignment="1">
      <alignment horizontal="center" wrapText="1"/>
    </xf>
    <xf numFmtId="0" fontId="18" fillId="11" borderId="64" xfId="4" applyNumberFormat="1" applyFont="1" applyFill="1" applyBorder="1" applyAlignment="1" applyProtection="1">
      <alignment horizontal="center" wrapText="1"/>
    </xf>
    <xf numFmtId="180" fontId="0" fillId="0" borderId="63" xfId="0" applyNumberFormat="1" applyFont="1" applyFill="1" applyBorder="1" applyAlignment="1">
      <alignment horizontal="center" wrapText="1"/>
    </xf>
    <xf numFmtId="0" fontId="0" fillId="0" borderId="64" xfId="0" applyFill="1" applyBorder="1" applyAlignment="1">
      <alignment horizontal="center" wrapText="1"/>
    </xf>
    <xf numFmtId="0" fontId="0" fillId="11" borderId="63" xfId="0" applyFont="1" applyFill="1" applyBorder="1" applyAlignment="1">
      <alignment horizontal="center" wrapText="1"/>
    </xf>
    <xf numFmtId="0" fontId="0" fillId="0" borderId="65" xfId="0" applyFont="1" applyFill="1" applyBorder="1" applyAlignment="1">
      <alignment horizontal="center" wrapText="1"/>
    </xf>
    <xf numFmtId="0" fontId="0" fillId="0" borderId="66" xfId="0" applyFont="1" applyFill="1" applyBorder="1" applyAlignment="1">
      <alignment horizontal="center"/>
    </xf>
    <xf numFmtId="0" fontId="0" fillId="12" borderId="43" xfId="0" applyFont="1" applyFill="1" applyBorder="1" applyAlignment="1">
      <alignment horizontal="center" wrapText="1"/>
    </xf>
    <xf numFmtId="178" fontId="22" fillId="12" borderId="43" xfId="4" applyFont="1" applyFill="1" applyBorder="1" applyAlignment="1" applyProtection="1">
      <alignment horizontal="right" wrapText="1"/>
    </xf>
    <xf numFmtId="0" fontId="0" fillId="13" borderId="49" xfId="0" applyFont="1" applyFill="1" applyBorder="1" applyAlignment="1">
      <alignment horizontal="center" wrapText="1"/>
    </xf>
    <xf numFmtId="0" fontId="0" fillId="13" borderId="49" xfId="0" applyFont="1" applyFill="1" applyBorder="1" applyAlignment="1">
      <alignment wrapText="1"/>
    </xf>
    <xf numFmtId="178" fontId="22" fillId="13" borderId="49" xfId="4" applyFont="1" applyFill="1" applyBorder="1" applyAlignment="1" applyProtection="1">
      <alignment horizontal="right" wrapText="1"/>
    </xf>
    <xf numFmtId="0" fontId="0" fillId="13" borderId="49" xfId="0" applyFont="1" applyFill="1" applyBorder="1" applyAlignment="1">
      <alignment horizontal="left" wrapText="1"/>
    </xf>
    <xf numFmtId="4" fontId="22" fillId="13" borderId="49" xfId="0" applyNumberFormat="1" applyFont="1" applyFill="1" applyBorder="1" applyAlignment="1">
      <alignment horizontal="right" wrapText="1"/>
    </xf>
    <xf numFmtId="180" fontId="0" fillId="12" borderId="43" xfId="0" applyNumberFormat="1" applyFill="1" applyBorder="1" applyAlignment="1">
      <alignment horizontal="center" wrapText="1"/>
    </xf>
    <xf numFmtId="0" fontId="0" fillId="12" borderId="43" xfId="0" applyFill="1" applyBorder="1" applyAlignment="1">
      <alignment wrapText="1"/>
    </xf>
    <xf numFmtId="0" fontId="26" fillId="0" borderId="4" xfId="0" applyFont="1" applyFill="1" applyBorder="1" applyAlignment="1">
      <alignment wrapText="1"/>
    </xf>
    <xf numFmtId="0" fontId="26" fillId="0" borderId="5" xfId="0" applyFont="1" applyFill="1" applyBorder="1" applyAlignment="1">
      <alignment wrapText="1"/>
    </xf>
    <xf numFmtId="14" fontId="26" fillId="0" borderId="7" xfId="0" applyNumberFormat="1" applyFont="1" applyBorder="1" applyAlignment="1">
      <alignment horizontal="center"/>
    </xf>
    <xf numFmtId="0" fontId="26" fillId="0" borderId="4" xfId="0" applyFont="1" applyFill="1" applyBorder="1" applyAlignment="1">
      <alignment horizontal="left" wrapText="1"/>
    </xf>
    <xf numFmtId="0" fontId="26" fillId="0" borderId="5" xfId="0" applyFont="1" applyFill="1" applyBorder="1" applyAlignment="1">
      <alignment horizontal="left" wrapText="1"/>
    </xf>
    <xf numFmtId="0" fontId="26" fillId="0" borderId="12" xfId="0" applyFont="1" applyFill="1" applyBorder="1" applyAlignment="1">
      <alignment wrapText="1"/>
    </xf>
    <xf numFmtId="0" fontId="26" fillId="0" borderId="13" xfId="0" applyFont="1" applyFill="1" applyBorder="1" applyAlignment="1">
      <alignment wrapText="1"/>
    </xf>
    <xf numFmtId="14" fontId="26" fillId="0" borderId="15" xfId="0" applyNumberFormat="1" applyFont="1" applyBorder="1" applyAlignment="1">
      <alignment horizontal="center"/>
    </xf>
    <xf numFmtId="0" fontId="0" fillId="0" borderId="49" xfId="0" applyFill="1" applyBorder="1" applyAlignment="1">
      <alignment wrapText="1"/>
    </xf>
    <xf numFmtId="181" fontId="0" fillId="0" borderId="0" xfId="0" applyNumberFormat="1" applyFont="1" applyFill="1" applyBorder="1" applyAlignment="1">
      <alignment horizontal="center"/>
    </xf>
    <xf numFmtId="0" fontId="18" fillId="0" borderId="43" xfId="4" applyNumberFormat="1" applyFont="1" applyFill="1" applyBorder="1" applyAlignment="1" applyProtection="1">
      <alignment horizontal="center" wrapText="1"/>
    </xf>
    <xf numFmtId="0" fontId="23" fillId="0" borderId="43" xfId="0" applyFont="1" applyFill="1" applyBorder="1" applyAlignment="1">
      <alignment horizontal="center"/>
    </xf>
    <xf numFmtId="14" fontId="23" fillId="0" borderId="49" xfId="0" applyNumberFormat="1" applyFont="1" applyFill="1" applyBorder="1" applyAlignment="1">
      <alignment horizontal="center" wrapText="1"/>
    </xf>
    <xf numFmtId="178" fontId="22" fillId="0" borderId="43" xfId="4" applyFont="1" applyFill="1" applyBorder="1" applyAlignment="1" applyProtection="1">
      <alignment horizontal="center" wrapText="1"/>
    </xf>
    <xf numFmtId="179" fontId="18" fillId="9" borderId="43" xfId="4" applyNumberFormat="1" applyFont="1" applyFill="1" applyBorder="1" applyAlignment="1" applyProtection="1">
      <alignment horizontal="center" wrapText="1"/>
    </xf>
    <xf numFmtId="0" fontId="22" fillId="0" borderId="0" xfId="0" applyFont="1" applyFill="1" applyAlignment="1">
      <alignment horizontal="left"/>
    </xf>
    <xf numFmtId="0" fontId="0" fillId="0" borderId="41" xfId="0" applyFill="1" applyBorder="1" applyAlignment="1">
      <alignment horizontal="center"/>
    </xf>
    <xf numFmtId="179" fontId="18" fillId="9" borderId="43" xfId="4" applyNumberFormat="1" applyFont="1" applyFill="1" applyBorder="1" applyAlignment="1" applyProtection="1">
      <alignment horizontal="center" wrapText="1"/>
    </xf>
    <xf numFmtId="0" fontId="0" fillId="0" borderId="44" xfId="0" applyFill="1" applyBorder="1" applyAlignment="1">
      <alignment horizontal="center" wrapText="1"/>
    </xf>
    <xf numFmtId="49" fontId="0" fillId="0" borderId="44" xfId="0" applyNumberFormat="1" applyFont="1" applyFill="1" applyBorder="1" applyAlignment="1">
      <alignment horizontal="center" wrapText="1"/>
    </xf>
    <xf numFmtId="0" fontId="0" fillId="0" borderId="44" xfId="0" applyFont="1" applyFill="1" applyBorder="1" applyAlignment="1">
      <alignment horizontal="center" wrapText="1"/>
    </xf>
    <xf numFmtId="0" fontId="0" fillId="0" borderId="44" xfId="0" applyFont="1" applyFill="1" applyBorder="1" applyAlignment="1">
      <alignment wrapText="1"/>
    </xf>
    <xf numFmtId="0" fontId="0" fillId="0" borderId="44" xfId="0" applyFill="1" applyBorder="1" applyAlignment="1">
      <alignment wrapText="1"/>
    </xf>
    <xf numFmtId="0" fontId="2" fillId="0" borderId="52" xfId="0" applyFont="1" applyFill="1" applyBorder="1"/>
    <xf numFmtId="14" fontId="2" fillId="0" borderId="52" xfId="0" applyNumberFormat="1" applyFont="1" applyFill="1" applyBorder="1"/>
    <xf numFmtId="178" fontId="2" fillId="0" borderId="52" xfId="4" applyFont="1" applyFill="1" applyBorder="1" applyAlignment="1" applyProtection="1"/>
    <xf numFmtId="178" fontId="2" fillId="0" borderId="67" xfId="4" applyFont="1" applyFill="1" applyBorder="1" applyAlignment="1" applyProtection="1"/>
    <xf numFmtId="0" fontId="40" fillId="0" borderId="68" xfId="0" applyFont="1" applyBorder="1"/>
    <xf numFmtId="0" fontId="40" fillId="0" borderId="68" xfId="0" applyFont="1" applyBorder="1" applyAlignment="1">
      <alignment horizontal="center"/>
    </xf>
    <xf numFmtId="49" fontId="0" fillId="0" borderId="69" xfId="0" applyNumberFormat="1" applyFont="1" applyFill="1" applyBorder="1" applyAlignment="1">
      <alignment horizontal="center" wrapText="1"/>
    </xf>
    <xf numFmtId="0" fontId="9" fillId="2" borderId="70" xfId="0" applyFont="1" applyFill="1" applyBorder="1" applyAlignment="1">
      <alignment horizontal="center" vertical="top"/>
    </xf>
    <xf numFmtId="0" fontId="9" fillId="2" borderId="53" xfId="0" applyFont="1" applyFill="1" applyBorder="1"/>
    <xf numFmtId="0" fontId="9" fillId="2" borderId="71" xfId="0" applyFont="1" applyFill="1" applyBorder="1" applyAlignment="1">
      <alignment horizontal="center" vertical="top"/>
    </xf>
    <xf numFmtId="0" fontId="9" fillId="0" borderId="0" xfId="0" applyFont="1" applyAlignment="1">
      <alignment horizontal="right"/>
    </xf>
    <xf numFmtId="14" fontId="9" fillId="0" borderId="0" xfId="0" applyNumberFormat="1" applyFont="1" applyAlignment="1">
      <alignment horizontal="right"/>
    </xf>
    <xf numFmtId="14" fontId="0" fillId="14" borderId="43" xfId="0" applyNumberFormat="1" applyFont="1" applyFill="1" applyBorder="1" applyAlignment="1">
      <alignment horizontal="center" wrapText="1"/>
    </xf>
    <xf numFmtId="0" fontId="0" fillId="14" borderId="43" xfId="0" applyFont="1" applyFill="1" applyBorder="1" applyAlignment="1">
      <alignment horizontal="center" wrapText="1"/>
    </xf>
    <xf numFmtId="0" fontId="0" fillId="14" borderId="43" xfId="0" applyFont="1" applyFill="1" applyBorder="1" applyAlignment="1">
      <alignment wrapText="1"/>
    </xf>
    <xf numFmtId="178" fontId="22" fillId="14" borderId="43" xfId="4" applyFont="1" applyFill="1" applyBorder="1" applyAlignment="1" applyProtection="1">
      <alignment horizontal="right" wrapText="1"/>
    </xf>
    <xf numFmtId="187" fontId="18" fillId="14" borderId="43" xfId="1" applyNumberFormat="1" applyFont="1" applyFill="1" applyBorder="1" applyAlignment="1" applyProtection="1">
      <alignment horizontal="right" wrapText="1"/>
    </xf>
    <xf numFmtId="179" fontId="18" fillId="14" borderId="43" xfId="4" applyNumberFormat="1" applyFont="1" applyFill="1" applyBorder="1" applyAlignment="1" applyProtection="1">
      <alignment horizontal="center" wrapText="1"/>
    </xf>
    <xf numFmtId="14" fontId="23" fillId="14" borderId="43" xfId="0" applyNumberFormat="1" applyFont="1" applyFill="1" applyBorder="1" applyAlignment="1">
      <alignment horizontal="center" wrapText="1"/>
    </xf>
    <xf numFmtId="178" fontId="18" fillId="14" borderId="43" xfId="4" applyFont="1" applyFill="1" applyBorder="1" applyAlignment="1" applyProtection="1">
      <alignment horizontal="center" wrapText="1"/>
    </xf>
    <xf numFmtId="181" fontId="0" fillId="14" borderId="43" xfId="0" applyNumberFormat="1" applyFont="1" applyFill="1" applyBorder="1" applyAlignment="1">
      <alignment horizontal="center"/>
    </xf>
    <xf numFmtId="0" fontId="0" fillId="14" borderId="43" xfId="0" applyFont="1" applyFill="1" applyBorder="1" applyAlignment="1"/>
    <xf numFmtId="14" fontId="0" fillId="14" borderId="43" xfId="0" applyNumberFormat="1" applyFont="1" applyFill="1" applyBorder="1" applyAlignment="1"/>
    <xf numFmtId="14" fontId="0" fillId="14" borderId="43" xfId="0" applyNumberFormat="1" applyFont="1" applyFill="1" applyBorder="1" applyAlignment="1">
      <alignment horizontal="center"/>
    </xf>
    <xf numFmtId="179" fontId="18" fillId="14" borderId="55" xfId="4" applyNumberFormat="1" applyFont="1" applyFill="1" applyBorder="1" applyAlignment="1" applyProtection="1">
      <alignment horizontal="center"/>
    </xf>
    <xf numFmtId="0" fontId="0" fillId="14" borderId="0" xfId="0" applyFont="1" applyFill="1" applyBorder="1" applyAlignment="1"/>
    <xf numFmtId="0" fontId="0" fillId="14" borderId="0" xfId="0" applyFill="1"/>
    <xf numFmtId="180" fontId="0" fillId="14" borderId="43" xfId="0" applyNumberFormat="1" applyFill="1" applyBorder="1" applyAlignment="1">
      <alignment horizontal="center" wrapText="1"/>
    </xf>
    <xf numFmtId="0" fontId="0" fillId="14" borderId="43" xfId="0" applyFill="1" applyBorder="1" applyAlignment="1">
      <alignment wrapText="1"/>
    </xf>
    <xf numFmtId="0" fontId="0" fillId="14" borderId="43" xfId="0" applyFont="1" applyFill="1" applyBorder="1" applyAlignment="1">
      <alignment horizontal="center"/>
    </xf>
    <xf numFmtId="49" fontId="18" fillId="14" borderId="43" xfId="4" applyNumberFormat="1" applyFont="1" applyFill="1" applyBorder="1" applyAlignment="1" applyProtection="1">
      <alignment horizontal="center" wrapText="1"/>
    </xf>
    <xf numFmtId="178" fontId="18" fillId="14" borderId="43" xfId="4" applyFont="1" applyFill="1" applyBorder="1" applyAlignment="1" applyProtection="1">
      <alignment horizontal="center" wrapText="1"/>
    </xf>
    <xf numFmtId="0" fontId="0" fillId="14" borderId="44" xfId="0" applyFill="1" applyBorder="1" applyAlignment="1">
      <alignment horizontal="center" wrapText="1"/>
    </xf>
    <xf numFmtId="49" fontId="0" fillId="14" borderId="44" xfId="0" applyNumberFormat="1" applyFont="1" applyFill="1" applyBorder="1" applyAlignment="1">
      <alignment horizontal="center" wrapText="1"/>
    </xf>
    <xf numFmtId="0" fontId="0" fillId="14" borderId="44" xfId="0" applyFont="1" applyFill="1" applyBorder="1" applyAlignment="1">
      <alignment horizontal="center" wrapText="1"/>
    </xf>
    <xf numFmtId="0" fontId="0" fillId="14" borderId="49" xfId="0" applyFill="1" applyBorder="1" applyAlignment="1">
      <alignment wrapText="1"/>
    </xf>
    <xf numFmtId="178" fontId="2" fillId="14" borderId="72" xfId="4" applyFont="1" applyFill="1" applyBorder="1" applyAlignment="1" applyProtection="1"/>
    <xf numFmtId="178" fontId="2" fillId="14" borderId="49" xfId="4" applyFont="1" applyFill="1" applyBorder="1" applyAlignment="1" applyProtection="1"/>
    <xf numFmtId="0" fontId="40" fillId="14" borderId="68" xfId="0" applyFont="1" applyFill="1" applyBorder="1" applyAlignment="1">
      <alignment horizontal="center"/>
    </xf>
    <xf numFmtId="0" fontId="2" fillId="14" borderId="49" xfId="0" applyFont="1" applyFill="1" applyBorder="1"/>
    <xf numFmtId="14" fontId="2" fillId="14" borderId="49" xfId="0" applyNumberFormat="1" applyFont="1" applyFill="1" applyBorder="1"/>
    <xf numFmtId="0" fontId="2" fillId="14" borderId="0" xfId="0" applyFont="1" applyFill="1"/>
    <xf numFmtId="0" fontId="0" fillId="14" borderId="49" xfId="0" applyFont="1" applyFill="1" applyBorder="1" applyAlignment="1">
      <alignment wrapText="1"/>
    </xf>
    <xf numFmtId="178" fontId="2" fillId="14" borderId="57" xfId="4" applyFont="1" applyFill="1" applyBorder="1" applyAlignment="1" applyProtection="1"/>
    <xf numFmtId="178" fontId="2" fillId="14" borderId="43" xfId="4" applyFont="1" applyFill="1" applyBorder="1" applyAlignment="1" applyProtection="1"/>
    <xf numFmtId="0" fontId="2" fillId="14" borderId="43" xfId="0" applyFont="1" applyFill="1" applyBorder="1"/>
    <xf numFmtId="14" fontId="2" fillId="14" borderId="43" xfId="0" applyNumberFormat="1" applyFont="1" applyFill="1" applyBorder="1"/>
    <xf numFmtId="0" fontId="0" fillId="14" borderId="44" xfId="0" applyFont="1" applyFill="1" applyBorder="1" applyAlignment="1">
      <alignment wrapText="1"/>
    </xf>
    <xf numFmtId="178" fontId="2" fillId="14" borderId="67" xfId="4" applyFont="1" applyFill="1" applyBorder="1" applyAlignment="1" applyProtection="1"/>
    <xf numFmtId="178" fontId="2" fillId="14" borderId="52" xfId="4" applyFont="1" applyFill="1" applyBorder="1" applyAlignment="1" applyProtection="1"/>
    <xf numFmtId="0" fontId="2" fillId="14" borderId="52" xfId="0" applyFont="1" applyFill="1" applyBorder="1"/>
    <xf numFmtId="14" fontId="2" fillId="14" borderId="52" xfId="0" applyNumberFormat="1" applyFont="1" applyFill="1" applyBorder="1"/>
    <xf numFmtId="49" fontId="0" fillId="14" borderId="69" xfId="0" applyNumberFormat="1" applyFont="1" applyFill="1" applyBorder="1" applyAlignment="1">
      <alignment horizontal="center" wrapText="1"/>
    </xf>
    <xf numFmtId="0" fontId="0" fillId="14" borderId="31" xfId="0" applyFont="1" applyFill="1" applyBorder="1" applyAlignment="1">
      <alignment wrapText="1"/>
    </xf>
    <xf numFmtId="49" fontId="0" fillId="14" borderId="43" xfId="0" applyNumberFormat="1" applyFont="1" applyFill="1" applyBorder="1" applyAlignment="1">
      <alignment horizontal="center" wrapText="1"/>
    </xf>
    <xf numFmtId="187" fontId="18" fillId="14" borderId="43" xfId="1" applyNumberFormat="1" applyFont="1" applyFill="1" applyBorder="1" applyAlignment="1" applyProtection="1">
      <alignment horizontal="right" wrapText="1"/>
    </xf>
    <xf numFmtId="179" fontId="18" fillId="14" borderId="43" xfId="4" applyNumberFormat="1" applyFont="1" applyFill="1" applyBorder="1" applyAlignment="1" applyProtection="1">
      <alignment horizontal="center" wrapText="1"/>
    </xf>
    <xf numFmtId="179" fontId="18" fillId="14" borderId="55" xfId="4" applyNumberFormat="1" applyFont="1" applyFill="1" applyBorder="1" applyAlignment="1" applyProtection="1">
      <alignment horizontal="center"/>
    </xf>
    <xf numFmtId="0" fontId="0" fillId="14" borderId="43" xfId="0" applyFill="1" applyBorder="1" applyAlignment="1">
      <alignment horizontal="center" wrapText="1"/>
    </xf>
    <xf numFmtId="0" fontId="0" fillId="14" borderId="43" xfId="0" applyFill="1" applyBorder="1" applyAlignment="1">
      <alignment horizontal="center"/>
    </xf>
    <xf numFmtId="180" fontId="0" fillId="14" borderId="43" xfId="0" applyNumberFormat="1" applyFont="1" applyFill="1" applyBorder="1" applyAlignment="1">
      <alignment horizontal="center" wrapText="1"/>
    </xf>
    <xf numFmtId="0" fontId="0" fillId="15" borderId="0" xfId="0" applyFill="1"/>
    <xf numFmtId="0" fontId="0" fillId="0" borderId="0" xfId="0" applyFill="1"/>
    <xf numFmtId="187" fontId="18" fillId="0" borderId="49" xfId="1" applyNumberFormat="1" applyFont="1" applyFill="1" applyBorder="1" applyAlignment="1">
      <alignment horizontal="right" wrapText="1"/>
    </xf>
    <xf numFmtId="4" fontId="0" fillId="0" borderId="101" xfId="0" applyNumberFormat="1" applyFont="1" applyFill="1" applyBorder="1"/>
    <xf numFmtId="4" fontId="0" fillId="0" borderId="102" xfId="0" applyNumberFormat="1" applyFont="1" applyFill="1" applyBorder="1"/>
    <xf numFmtId="4" fontId="0" fillId="0" borderId="102" xfId="0" applyNumberFormat="1" applyFont="1" applyBorder="1"/>
    <xf numFmtId="14" fontId="0" fillId="0" borderId="43" xfId="0" applyNumberFormat="1" applyFont="1" applyFill="1" applyBorder="1" applyAlignment="1">
      <alignment wrapText="1"/>
    </xf>
    <xf numFmtId="178" fontId="2" fillId="0" borderId="72" xfId="4" applyFont="1" applyFill="1" applyBorder="1" applyAlignment="1" applyProtection="1"/>
    <xf numFmtId="178" fontId="2" fillId="0" borderId="49" xfId="4" applyFont="1" applyFill="1" applyBorder="1" applyAlignment="1" applyProtection="1"/>
    <xf numFmtId="0" fontId="40" fillId="0" borderId="68" xfId="0" applyFont="1" applyFill="1" applyBorder="1" applyAlignment="1">
      <alignment horizontal="center"/>
    </xf>
    <xf numFmtId="0" fontId="2" fillId="0" borderId="49" xfId="0" applyFont="1" applyFill="1" applyBorder="1"/>
    <xf numFmtId="178" fontId="2" fillId="0" borderId="57" xfId="4" applyFont="1" applyFill="1" applyBorder="1" applyAlignment="1" applyProtection="1"/>
    <xf numFmtId="178" fontId="2" fillId="0" borderId="43" xfId="4" applyFont="1" applyFill="1" applyBorder="1" applyAlignment="1" applyProtection="1"/>
    <xf numFmtId="0" fontId="2" fillId="0" borderId="43" xfId="0" applyFont="1" applyFill="1" applyBorder="1"/>
    <xf numFmtId="49" fontId="18" fillId="0" borderId="43" xfId="4" applyNumberFormat="1" applyFont="1" applyFill="1" applyBorder="1" applyAlignment="1" applyProtection="1">
      <alignment horizontal="center" wrapText="1"/>
    </xf>
    <xf numFmtId="14" fontId="0" fillId="0" borderId="43" xfId="0" applyNumberFormat="1" applyFont="1" applyFill="1" applyBorder="1" applyAlignment="1">
      <alignment wrapText="1" shrinkToFit="1"/>
    </xf>
    <xf numFmtId="14" fontId="0" fillId="0" borderId="43" xfId="0" applyNumberFormat="1" applyFont="1" applyFill="1" applyBorder="1" applyAlignment="1">
      <alignment horizontal="center" wrapText="1" shrinkToFit="1"/>
    </xf>
    <xf numFmtId="0" fontId="0" fillId="0" borderId="0" xfId="0" applyFill="1" applyAlignment="1">
      <alignment horizontal="center"/>
    </xf>
    <xf numFmtId="178" fontId="2" fillId="0" borderId="52" xfId="4" applyFont="1" applyFill="1" applyBorder="1" applyAlignment="1" applyProtection="1">
      <alignment horizontal="center" vertical="center"/>
    </xf>
    <xf numFmtId="187" fontId="0" fillId="0" borderId="43" xfId="1" applyNumberFormat="1" applyFont="1" applyFill="1" applyBorder="1" applyAlignment="1" applyProtection="1">
      <alignment horizontal="center" vertical="center" wrapText="1"/>
    </xf>
    <xf numFmtId="178" fontId="2" fillId="0" borderId="49" xfId="4" applyFont="1" applyFill="1" applyBorder="1" applyAlignment="1" applyProtection="1">
      <alignment horizontal="center" vertical="center"/>
    </xf>
    <xf numFmtId="178" fontId="2" fillId="0" borderId="43" xfId="4" applyFont="1" applyFill="1" applyBorder="1" applyAlignment="1" applyProtection="1">
      <alignment horizontal="center" vertical="center"/>
    </xf>
    <xf numFmtId="178" fontId="22" fillId="0" borderId="43" xfId="4" applyFont="1" applyFill="1" applyBorder="1" applyAlignment="1" applyProtection="1">
      <alignment horizontal="center" vertical="center" wrapText="1"/>
    </xf>
    <xf numFmtId="187" fontId="18" fillId="0" borderId="43" xfId="1" applyNumberFormat="1" applyFont="1" applyFill="1" applyBorder="1" applyAlignment="1" applyProtection="1">
      <alignment horizontal="center" vertical="center" wrapText="1"/>
    </xf>
    <xf numFmtId="0" fontId="0" fillId="0" borderId="0" xfId="0" applyFill="1" applyAlignment="1">
      <alignment wrapText="1"/>
    </xf>
    <xf numFmtId="0" fontId="0" fillId="0" borderId="73" xfId="0" applyFill="1" applyBorder="1" applyAlignment="1">
      <alignment wrapText="1"/>
    </xf>
    <xf numFmtId="0" fontId="0" fillId="0" borderId="0" xfId="0" applyFill="1" applyBorder="1"/>
    <xf numFmtId="0" fontId="41" fillId="0" borderId="43" xfId="0" applyFont="1" applyFill="1" applyBorder="1" applyAlignment="1">
      <alignment horizontal="center" wrapText="1"/>
    </xf>
    <xf numFmtId="187" fontId="18" fillId="0" borderId="43" xfId="1" applyNumberFormat="1" applyFont="1" applyFill="1" applyBorder="1" applyAlignment="1">
      <alignment horizontal="right" wrapText="1"/>
    </xf>
    <xf numFmtId="0" fontId="0" fillId="10" borderId="0" xfId="0" applyFill="1"/>
    <xf numFmtId="0" fontId="40" fillId="0" borderId="68" xfId="0" applyFont="1" applyFill="1" applyBorder="1"/>
    <xf numFmtId="187" fontId="18" fillId="10" borderId="43" xfId="1" applyNumberFormat="1" applyFont="1" applyFill="1" applyBorder="1" applyAlignment="1" applyProtection="1">
      <alignment horizontal="right" wrapText="1"/>
    </xf>
    <xf numFmtId="179" fontId="18" fillId="10" borderId="43" xfId="4" applyNumberFormat="1" applyFont="1" applyFill="1" applyBorder="1" applyAlignment="1" applyProtection="1">
      <alignment horizontal="center" wrapText="1"/>
    </xf>
    <xf numFmtId="178" fontId="18" fillId="10" borderId="43" xfId="4" applyFont="1" applyFill="1" applyBorder="1" applyAlignment="1" applyProtection="1">
      <alignment horizontal="center" wrapText="1"/>
    </xf>
    <xf numFmtId="179" fontId="18" fillId="10" borderId="55" xfId="4" applyNumberFormat="1" applyFont="1" applyFill="1" applyBorder="1" applyAlignment="1" applyProtection="1">
      <alignment horizontal="center"/>
    </xf>
    <xf numFmtId="14" fontId="18" fillId="0" borderId="43" xfId="4" applyNumberFormat="1" applyFont="1" applyFill="1" applyBorder="1" applyAlignment="1" applyProtection="1">
      <alignment horizontal="center"/>
    </xf>
    <xf numFmtId="0" fontId="41" fillId="0" borderId="43" xfId="0" applyFont="1" applyFill="1" applyBorder="1" applyAlignment="1">
      <alignment wrapText="1"/>
    </xf>
    <xf numFmtId="178" fontId="42" fillId="0" borderId="43" xfId="4" applyFont="1" applyFill="1" applyBorder="1" applyAlignment="1" applyProtection="1">
      <alignment horizontal="right" wrapText="1"/>
    </xf>
    <xf numFmtId="187" fontId="41" fillId="0" borderId="43" xfId="1" applyNumberFormat="1" applyFont="1" applyFill="1" applyBorder="1" applyAlignment="1" applyProtection="1">
      <alignment horizontal="right" wrapText="1"/>
    </xf>
    <xf numFmtId="179" fontId="41" fillId="0" borderId="43" xfId="4" applyNumberFormat="1" applyFont="1" applyFill="1" applyBorder="1" applyAlignment="1" applyProtection="1">
      <alignment horizontal="center" wrapText="1"/>
    </xf>
    <xf numFmtId="14" fontId="41" fillId="0" borderId="43" xfId="0" applyNumberFormat="1" applyFont="1" applyFill="1" applyBorder="1" applyAlignment="1">
      <alignment horizontal="center" wrapText="1"/>
    </xf>
    <xf numFmtId="178" fontId="41" fillId="0" borderId="43" xfId="4" applyFont="1" applyFill="1" applyBorder="1" applyAlignment="1" applyProtection="1">
      <alignment horizontal="center" wrapText="1"/>
    </xf>
    <xf numFmtId="181" fontId="41" fillId="0" borderId="43" xfId="0" applyNumberFormat="1" applyFont="1" applyFill="1" applyBorder="1" applyAlignment="1">
      <alignment horizontal="center"/>
    </xf>
    <xf numFmtId="0" fontId="41" fillId="0" borderId="43" xfId="0" applyFont="1" applyFill="1" applyBorder="1" applyAlignment="1"/>
    <xf numFmtId="14" fontId="41" fillId="0" borderId="43" xfId="0" applyNumberFormat="1" applyFont="1" applyFill="1" applyBorder="1" applyAlignment="1"/>
    <xf numFmtId="14" fontId="41" fillId="0" borderId="43" xfId="0" applyNumberFormat="1" applyFont="1" applyFill="1" applyBorder="1" applyAlignment="1">
      <alignment horizontal="center"/>
    </xf>
    <xf numFmtId="179" fontId="41" fillId="0" borderId="55" xfId="4" applyNumberFormat="1" applyFont="1" applyFill="1" applyBorder="1" applyAlignment="1" applyProtection="1">
      <alignment horizontal="center"/>
    </xf>
    <xf numFmtId="0" fontId="41" fillId="0" borderId="0" xfId="0" applyFont="1" applyFill="1"/>
    <xf numFmtId="0" fontId="30" fillId="0" borderId="43" xfId="0" applyFont="1" applyFill="1" applyBorder="1" applyAlignment="1">
      <alignment wrapText="1"/>
    </xf>
    <xf numFmtId="0" fontId="0" fillId="10" borderId="0" xfId="0" applyFont="1" applyFill="1" applyBorder="1" applyAlignment="1"/>
    <xf numFmtId="4" fontId="0" fillId="10" borderId="101" xfId="0" applyNumberFormat="1" applyFont="1" applyFill="1" applyBorder="1"/>
    <xf numFmtId="0" fontId="0" fillId="10" borderId="44" xfId="0" applyFill="1" applyBorder="1" applyAlignment="1">
      <alignment horizontal="center" wrapText="1"/>
    </xf>
    <xf numFmtId="49" fontId="0" fillId="10" borderId="69" xfId="0" applyNumberFormat="1" applyFont="1" applyFill="1" applyBorder="1" applyAlignment="1">
      <alignment horizontal="center" wrapText="1"/>
    </xf>
    <xf numFmtId="0" fontId="0" fillId="10" borderId="49" xfId="0" applyFill="1" applyBorder="1" applyAlignment="1">
      <alignment wrapText="1"/>
    </xf>
    <xf numFmtId="0" fontId="2" fillId="10" borderId="52" xfId="0" applyFont="1" applyFill="1" applyBorder="1"/>
    <xf numFmtId="49" fontId="0" fillId="10" borderId="44" xfId="0" applyNumberFormat="1" applyFont="1" applyFill="1" applyBorder="1" applyAlignment="1">
      <alignment horizontal="center" wrapText="1"/>
    </xf>
    <xf numFmtId="0" fontId="0" fillId="10" borderId="44" xfId="0" applyFont="1" applyFill="1" applyBorder="1" applyAlignment="1">
      <alignment horizontal="center" wrapText="1"/>
    </xf>
    <xf numFmtId="178" fontId="2" fillId="10" borderId="72" xfId="4" applyFont="1" applyFill="1" applyBorder="1" applyAlignment="1" applyProtection="1"/>
    <xf numFmtId="0" fontId="40" fillId="10" borderId="68" xfId="0" applyFont="1" applyFill="1" applyBorder="1" applyAlignment="1">
      <alignment horizontal="center"/>
    </xf>
    <xf numFmtId="0" fontId="2" fillId="10" borderId="49" xfId="0" applyFont="1" applyFill="1" applyBorder="1"/>
    <xf numFmtId="0" fontId="2" fillId="10" borderId="0" xfId="0" applyFont="1" applyFill="1"/>
    <xf numFmtId="0" fontId="0" fillId="10" borderId="49" xfId="0" applyFont="1" applyFill="1" applyBorder="1" applyAlignment="1">
      <alignment wrapText="1"/>
    </xf>
    <xf numFmtId="178" fontId="2" fillId="10" borderId="57" xfId="4" applyFont="1" applyFill="1" applyBorder="1" applyAlignment="1" applyProtection="1"/>
    <xf numFmtId="0" fontId="2" fillId="10" borderId="43" xfId="0" applyFont="1" applyFill="1" applyBorder="1"/>
    <xf numFmtId="0" fontId="0" fillId="10" borderId="44" xfId="0" applyFont="1" applyFill="1" applyBorder="1" applyAlignment="1">
      <alignment wrapText="1"/>
    </xf>
    <xf numFmtId="0" fontId="0" fillId="10" borderId="31" xfId="0" applyFont="1" applyFill="1" applyBorder="1" applyAlignment="1">
      <alignment wrapText="1"/>
    </xf>
    <xf numFmtId="0" fontId="9" fillId="10" borderId="0" xfId="0" applyFont="1" applyFill="1"/>
    <xf numFmtId="187" fontId="18" fillId="10" borderId="43" xfId="1" applyNumberFormat="1" applyFont="1" applyFill="1" applyBorder="1" applyAlignment="1" applyProtection="1">
      <alignment horizontal="right" wrapText="1"/>
    </xf>
    <xf numFmtId="0" fontId="0" fillId="0" borderId="0" xfId="0" applyFill="1" applyBorder="1" applyAlignment="1">
      <alignment wrapText="1"/>
    </xf>
    <xf numFmtId="187" fontId="18" fillId="0" borderId="31" xfId="1" applyNumberFormat="1" applyFont="1" applyFill="1" applyBorder="1" applyAlignment="1" applyProtection="1">
      <alignment horizontal="right" wrapText="1"/>
    </xf>
    <xf numFmtId="179" fontId="18" fillId="0" borderId="31" xfId="4" applyNumberFormat="1" applyFont="1" applyFill="1" applyBorder="1" applyAlignment="1" applyProtection="1">
      <alignment horizontal="center" wrapText="1"/>
    </xf>
    <xf numFmtId="14" fontId="0" fillId="0" borderId="31" xfId="0" applyNumberFormat="1" applyFont="1" applyFill="1" applyBorder="1" applyAlignment="1">
      <alignment horizontal="center" wrapText="1"/>
    </xf>
    <xf numFmtId="181" fontId="0" fillId="0" borderId="31" xfId="0" applyNumberFormat="1" applyFont="1" applyFill="1" applyBorder="1" applyAlignment="1">
      <alignment horizontal="center"/>
    </xf>
    <xf numFmtId="0" fontId="0" fillId="0" borderId="31" xfId="0" applyFont="1" applyFill="1" applyBorder="1" applyAlignment="1"/>
    <xf numFmtId="179" fontId="18" fillId="0" borderId="31" xfId="4" applyNumberFormat="1" applyFont="1" applyFill="1" applyBorder="1" applyAlignment="1" applyProtection="1">
      <alignment horizontal="center"/>
    </xf>
    <xf numFmtId="178" fontId="18" fillId="0" borderId="31" xfId="4" applyFont="1" applyFill="1" applyBorder="1" applyAlignment="1" applyProtection="1">
      <alignment horizontal="center" wrapText="1"/>
    </xf>
    <xf numFmtId="14" fontId="0" fillId="0" borderId="31" xfId="0" applyNumberFormat="1" applyFont="1" applyFill="1" applyBorder="1" applyAlignment="1"/>
    <xf numFmtId="179" fontId="0" fillId="0" borderId="31" xfId="4" applyNumberFormat="1" applyFont="1" applyFill="1" applyBorder="1" applyAlignment="1" applyProtection="1">
      <alignment horizontal="center" wrapText="1"/>
    </xf>
    <xf numFmtId="179" fontId="0" fillId="0" borderId="31" xfId="4" applyNumberFormat="1" applyFont="1" applyFill="1" applyBorder="1" applyAlignment="1" applyProtection="1">
      <alignment horizontal="center"/>
    </xf>
    <xf numFmtId="17" fontId="0" fillId="0" borderId="31" xfId="0" applyNumberFormat="1" applyFont="1" applyFill="1" applyBorder="1" applyAlignment="1">
      <alignment horizontal="center" wrapText="1"/>
    </xf>
    <xf numFmtId="0" fontId="9" fillId="2" borderId="33" xfId="0" applyFont="1" applyFill="1" applyBorder="1" applyAlignment="1">
      <alignment horizontal="center" vertical="top"/>
    </xf>
    <xf numFmtId="0" fontId="9" fillId="7" borderId="38" xfId="0" applyFont="1" applyFill="1" applyBorder="1" applyAlignment="1">
      <alignment horizontal="center"/>
    </xf>
    <xf numFmtId="0" fontId="9" fillId="2" borderId="38" xfId="0" applyFont="1" applyFill="1" applyBorder="1"/>
    <xf numFmtId="0" fontId="9" fillId="2" borderId="38" xfId="0" applyFont="1" applyFill="1" applyBorder="1" applyAlignment="1">
      <alignment horizontal="center" vertical="top"/>
    </xf>
    <xf numFmtId="178" fontId="43" fillId="0" borderId="31" xfId="4" applyFont="1" applyFill="1" applyBorder="1" applyAlignment="1" applyProtection="1">
      <alignment horizontal="right" wrapText="1"/>
    </xf>
    <xf numFmtId="0" fontId="44" fillId="0" borderId="31" xfId="0" applyFont="1" applyFill="1" applyBorder="1" applyAlignment="1">
      <alignment horizontal="center" wrapText="1"/>
    </xf>
    <xf numFmtId="0" fontId="44" fillId="0" borderId="31" xfId="0" applyFont="1" applyFill="1" applyBorder="1" applyAlignment="1">
      <alignment wrapText="1"/>
    </xf>
    <xf numFmtId="187" fontId="44" fillId="0" borderId="31" xfId="1" applyNumberFormat="1" applyFont="1" applyFill="1" applyBorder="1" applyAlignment="1" applyProtection="1">
      <alignment horizontal="right" wrapText="1"/>
    </xf>
    <xf numFmtId="179" fontId="44" fillId="0" borderId="31" xfId="4" applyNumberFormat="1" applyFont="1" applyFill="1" applyBorder="1" applyAlignment="1" applyProtection="1">
      <alignment horizontal="center" wrapText="1"/>
    </xf>
    <xf numFmtId="14" fontId="44" fillId="0" borderId="31" xfId="0" applyNumberFormat="1" applyFont="1" applyFill="1" applyBorder="1" applyAlignment="1">
      <alignment horizontal="center" wrapText="1"/>
    </xf>
    <xf numFmtId="178" fontId="44" fillId="0" borderId="31" xfId="4" applyFont="1" applyFill="1" applyBorder="1" applyAlignment="1" applyProtection="1">
      <alignment horizontal="center" wrapText="1"/>
    </xf>
    <xf numFmtId="0" fontId="44" fillId="0" borderId="31" xfId="0" applyFont="1" applyFill="1" applyBorder="1" applyAlignment="1"/>
    <xf numFmtId="14" fontId="44" fillId="0" borderId="31" xfId="0" applyNumberFormat="1" applyFont="1" applyFill="1" applyBorder="1" applyAlignment="1"/>
    <xf numFmtId="14" fontId="44" fillId="0" borderId="31" xfId="0" applyNumberFormat="1" applyFont="1" applyFill="1" applyBorder="1" applyAlignment="1">
      <alignment horizontal="center"/>
    </xf>
    <xf numFmtId="179" fontId="44" fillId="0" borderId="31" xfId="4" applyNumberFormat="1" applyFont="1" applyFill="1" applyBorder="1" applyAlignment="1" applyProtection="1">
      <alignment horizontal="center"/>
    </xf>
    <xf numFmtId="181" fontId="44" fillId="0" borderId="31" xfId="0" applyNumberFormat="1" applyFont="1" applyFill="1" applyBorder="1" applyAlignment="1">
      <alignment horizontal="center"/>
    </xf>
    <xf numFmtId="178" fontId="45" fillId="0" borderId="31" xfId="4" applyFont="1" applyFill="1" applyBorder="1" applyAlignment="1" applyProtection="1"/>
    <xf numFmtId="0" fontId="45" fillId="0" borderId="31" xfId="0" applyFont="1" applyFill="1" applyBorder="1"/>
    <xf numFmtId="49" fontId="44" fillId="0" borderId="31" xfId="0" applyNumberFormat="1" applyFont="1" applyFill="1" applyBorder="1" applyAlignment="1">
      <alignment horizontal="center" wrapText="1"/>
    </xf>
    <xf numFmtId="0" fontId="41" fillId="0" borderId="31" xfId="0" applyFont="1" applyFill="1" applyBorder="1" applyAlignment="1">
      <alignment horizontal="center" wrapText="1"/>
    </xf>
    <xf numFmtId="0" fontId="44" fillId="0" borderId="31" xfId="0" applyFont="1" applyFill="1" applyBorder="1" applyAlignment="1">
      <alignment horizontal="center"/>
    </xf>
    <xf numFmtId="0" fontId="0" fillId="0" borderId="31" xfId="0" applyFill="1" applyBorder="1" applyAlignment="1">
      <alignment horizontal="center" wrapText="1"/>
    </xf>
    <xf numFmtId="14" fontId="0" fillId="0" borderId="31" xfId="0" applyNumberFormat="1" applyFont="1" applyFill="1" applyBorder="1" applyAlignment="1">
      <alignment wrapText="1" shrinkToFit="1"/>
    </xf>
    <xf numFmtId="0" fontId="0" fillId="0" borderId="31" xfId="0" applyFill="1" applyBorder="1" applyAlignment="1">
      <alignment wrapText="1"/>
    </xf>
    <xf numFmtId="0" fontId="0" fillId="0" borderId="31" xfId="0" applyFill="1" applyBorder="1" applyAlignment="1">
      <alignment horizontal="center"/>
    </xf>
    <xf numFmtId="0" fontId="0" fillId="0" borderId="31" xfId="0" applyFont="1" applyFill="1" applyBorder="1" applyAlignment="1">
      <alignment horizontal="center"/>
    </xf>
    <xf numFmtId="49" fontId="0" fillId="0" borderId="31" xfId="0" applyNumberFormat="1" applyFont="1" applyFill="1" applyBorder="1" applyAlignment="1">
      <alignment horizontal="center" wrapText="1"/>
    </xf>
    <xf numFmtId="0" fontId="40" fillId="0" borderId="31" xfId="0" applyFont="1" applyFill="1" applyBorder="1"/>
    <xf numFmtId="0" fontId="2" fillId="0" borderId="31" xfId="0" applyFont="1" applyFill="1" applyBorder="1"/>
    <xf numFmtId="0" fontId="0" fillId="0" borderId="31" xfId="0" applyFont="1" applyFill="1" applyBorder="1" applyAlignment="1">
      <alignment horizontal="center" vertical="center" wrapText="1"/>
    </xf>
    <xf numFmtId="0" fontId="0" fillId="0" borderId="31" xfId="0" applyFont="1" applyFill="1" applyBorder="1" applyAlignment="1">
      <alignment horizontal="left" vertical="center" wrapText="1"/>
    </xf>
    <xf numFmtId="178" fontId="22" fillId="0" borderId="31" xfId="4" applyFont="1" applyFill="1" applyBorder="1" applyAlignment="1" applyProtection="1">
      <alignment horizontal="center" vertical="center" wrapText="1"/>
    </xf>
    <xf numFmtId="181" fontId="0" fillId="0" borderId="31" xfId="0" applyNumberFormat="1" applyFont="1" applyFill="1" applyBorder="1" applyAlignment="1">
      <alignment horizontal="center" wrapText="1"/>
    </xf>
    <xf numFmtId="178" fontId="30" fillId="0" borderId="31" xfId="4" applyFont="1" applyFill="1" applyBorder="1" applyAlignment="1" applyProtection="1">
      <alignment horizontal="right" wrapText="1"/>
    </xf>
    <xf numFmtId="181" fontId="7" fillId="0" borderId="31" xfId="0" applyNumberFormat="1" applyFont="1" applyFill="1" applyBorder="1" applyAlignment="1">
      <alignment horizontal="center" wrapText="1"/>
    </xf>
    <xf numFmtId="0" fontId="9" fillId="0" borderId="0" xfId="0" applyFont="1"/>
    <xf numFmtId="187" fontId="9" fillId="0" borderId="31" xfId="1" applyNumberFormat="1" applyFont="1" applyFill="1" applyBorder="1" applyAlignment="1" applyProtection="1">
      <alignment horizontal="right" wrapText="1"/>
    </xf>
    <xf numFmtId="0" fontId="0" fillId="16" borderId="0" xfId="0" applyFill="1" applyBorder="1"/>
    <xf numFmtId="0" fontId="0" fillId="0" borderId="0" xfId="0" applyAlignment="1">
      <alignment wrapText="1"/>
    </xf>
    <xf numFmtId="0" fontId="44" fillId="0" borderId="0" xfId="0" applyFont="1" applyFill="1" applyBorder="1" applyAlignment="1"/>
    <xf numFmtId="49" fontId="41" fillId="0" borderId="31" xfId="0" applyNumberFormat="1" applyFont="1" applyFill="1" applyBorder="1" applyAlignment="1">
      <alignment horizontal="center" wrapText="1"/>
    </xf>
    <xf numFmtId="0" fontId="41" fillId="0" borderId="31" xfId="0" applyFont="1" applyFill="1" applyBorder="1" applyAlignment="1">
      <alignment wrapText="1"/>
    </xf>
    <xf numFmtId="178" fontId="46" fillId="0" borderId="31" xfId="4" applyFont="1" applyFill="1" applyBorder="1" applyAlignment="1" applyProtection="1">
      <alignment horizontal="right" wrapText="1"/>
    </xf>
    <xf numFmtId="187" fontId="41" fillId="0" borderId="31" xfId="1" applyNumberFormat="1" applyFont="1" applyFill="1" applyBorder="1" applyAlignment="1" applyProtection="1">
      <alignment horizontal="right" wrapText="1"/>
    </xf>
    <xf numFmtId="14" fontId="41" fillId="0" borderId="31" xfId="0" applyNumberFormat="1" applyFont="1" applyFill="1" applyBorder="1" applyAlignment="1">
      <alignment horizontal="center" wrapText="1"/>
    </xf>
    <xf numFmtId="178" fontId="41" fillId="0" borderId="31" xfId="4" applyFont="1" applyFill="1" applyBorder="1" applyAlignment="1" applyProtection="1">
      <alignment horizontal="center" wrapText="1"/>
    </xf>
    <xf numFmtId="181" fontId="41" fillId="0" borderId="31" xfId="0" applyNumberFormat="1" applyFont="1" applyFill="1" applyBorder="1" applyAlignment="1">
      <alignment horizontal="center"/>
    </xf>
    <xf numFmtId="0" fontId="41" fillId="0" borderId="31" xfId="0" applyFont="1" applyFill="1" applyBorder="1" applyAlignment="1"/>
    <xf numFmtId="14" fontId="41" fillId="0" borderId="31" xfId="0" applyNumberFormat="1" applyFont="1" applyFill="1" applyBorder="1" applyAlignment="1"/>
    <xf numFmtId="14" fontId="41" fillId="0" borderId="31" xfId="0" applyNumberFormat="1" applyFont="1" applyFill="1" applyBorder="1" applyAlignment="1">
      <alignment horizontal="center"/>
    </xf>
    <xf numFmtId="179" fontId="41" fillId="0" borderId="31" xfId="4" applyNumberFormat="1" applyFont="1" applyFill="1" applyBorder="1" applyAlignment="1" applyProtection="1">
      <alignment horizontal="center"/>
    </xf>
    <xf numFmtId="0" fontId="41" fillId="0" borderId="0" xfId="0" applyFont="1" applyFill="1" applyBorder="1" applyAlignment="1"/>
    <xf numFmtId="0" fontId="31" fillId="0" borderId="0" xfId="0" applyFont="1" applyFill="1"/>
    <xf numFmtId="187" fontId="18" fillId="0" borderId="31" xfId="1" applyNumberFormat="1" applyFont="1" applyFill="1" applyBorder="1" applyAlignment="1">
      <alignment horizontal="right" wrapText="1"/>
    </xf>
    <xf numFmtId="180" fontId="0" fillId="0" borderId="31" xfId="0" applyNumberFormat="1" applyFill="1" applyBorder="1" applyAlignment="1">
      <alignment horizontal="center" wrapText="1"/>
    </xf>
    <xf numFmtId="180" fontId="0" fillId="0" borderId="31" xfId="0" applyNumberFormat="1" applyFont="1" applyFill="1" applyBorder="1" applyAlignment="1">
      <alignment horizontal="center" wrapText="1"/>
    </xf>
    <xf numFmtId="180" fontId="44" fillId="0" borderId="31" xfId="0" applyNumberFormat="1" applyFont="1" applyFill="1" applyBorder="1" applyAlignment="1">
      <alignment horizontal="center" wrapText="1"/>
    </xf>
    <xf numFmtId="0" fontId="33" fillId="15" borderId="74" xfId="0" applyFont="1" applyFill="1" applyBorder="1"/>
    <xf numFmtId="0" fontId="32" fillId="0" borderId="75" xfId="0" applyFont="1" applyBorder="1"/>
    <xf numFmtId="179" fontId="41" fillId="9" borderId="31" xfId="4" applyNumberFormat="1" applyFont="1" applyFill="1" applyBorder="1" applyAlignment="1" applyProtection="1">
      <alignment horizontal="center" wrapText="1"/>
    </xf>
    <xf numFmtId="179" fontId="18" fillId="9" borderId="31" xfId="4" applyNumberFormat="1" applyFont="1" applyFill="1" applyBorder="1" applyAlignment="1" applyProtection="1">
      <alignment horizontal="center" wrapText="1"/>
    </xf>
    <xf numFmtId="187" fontId="41" fillId="0" borderId="76" xfId="1" applyNumberFormat="1" applyFont="1" applyFill="1" applyBorder="1" applyAlignment="1">
      <alignment horizontal="right" wrapText="1"/>
    </xf>
    <xf numFmtId="179" fontId="9" fillId="0" borderId="31" xfId="4" applyNumberFormat="1" applyFont="1" applyFill="1" applyBorder="1" applyAlignment="1" applyProtection="1">
      <alignment horizontal="center" wrapText="1"/>
    </xf>
    <xf numFmtId="0" fontId="9" fillId="0" borderId="0" xfId="0" applyFont="1" applyFill="1" applyBorder="1" applyAlignment="1"/>
    <xf numFmtId="178" fontId="42" fillId="0" borderId="31" xfId="4" applyFont="1" applyFill="1" applyBorder="1" applyAlignment="1" applyProtection="1">
      <alignment horizontal="right" wrapText="1"/>
    </xf>
    <xf numFmtId="178" fontId="2" fillId="0" borderId="31" xfId="4" applyFont="1" applyFill="1" applyBorder="1" applyAlignment="1" applyProtection="1"/>
    <xf numFmtId="180" fontId="41" fillId="0" borderId="76" xfId="0" applyNumberFormat="1" applyFont="1" applyFill="1" applyBorder="1" applyAlignment="1">
      <alignment horizontal="center" wrapText="1"/>
    </xf>
    <xf numFmtId="0" fontId="41" fillId="0" borderId="76" xfId="0" applyFont="1" applyFill="1" applyBorder="1" applyAlignment="1">
      <alignment horizontal="center" wrapText="1"/>
    </xf>
    <xf numFmtId="0" fontId="41" fillId="0" borderId="76" xfId="0" applyFont="1" applyFill="1" applyBorder="1" applyAlignment="1">
      <alignment wrapText="1"/>
    </xf>
    <xf numFmtId="178" fontId="42" fillId="0" borderId="76" xfId="4" applyFont="1" applyFill="1" applyBorder="1" applyAlignment="1" applyProtection="1">
      <alignment horizontal="right" wrapText="1"/>
    </xf>
    <xf numFmtId="187" fontId="47" fillId="0" borderId="76" xfId="1" applyNumberFormat="1" applyFont="1" applyFill="1" applyBorder="1" applyAlignment="1" applyProtection="1">
      <alignment horizontal="right" wrapText="1"/>
    </xf>
    <xf numFmtId="179" fontId="41" fillId="0" borderId="76" xfId="4" applyNumberFormat="1" applyFont="1" applyFill="1" applyBorder="1" applyAlignment="1" applyProtection="1">
      <alignment horizontal="center" wrapText="1"/>
    </xf>
    <xf numFmtId="14" fontId="41" fillId="0" borderId="76" xfId="0" applyNumberFormat="1" applyFont="1" applyFill="1" applyBorder="1" applyAlignment="1">
      <alignment horizontal="center" wrapText="1"/>
    </xf>
    <xf numFmtId="178" fontId="41" fillId="0" borderId="76" xfId="4" applyFont="1" applyFill="1" applyBorder="1" applyAlignment="1" applyProtection="1">
      <alignment horizontal="center" wrapText="1"/>
    </xf>
    <xf numFmtId="181" fontId="41" fillId="0" borderId="76" xfId="0" applyNumberFormat="1" applyFont="1" applyFill="1" applyBorder="1" applyAlignment="1">
      <alignment horizontal="center"/>
    </xf>
    <xf numFmtId="0" fontId="41" fillId="0" borderId="76" xfId="0" applyFont="1" applyFill="1" applyBorder="1" applyAlignment="1"/>
    <xf numFmtId="14" fontId="41" fillId="0" borderId="76" xfId="0" applyNumberFormat="1" applyFont="1" applyFill="1" applyBorder="1" applyAlignment="1"/>
    <xf numFmtId="14" fontId="41" fillId="0" borderId="76" xfId="0" applyNumberFormat="1" applyFont="1" applyFill="1" applyBorder="1" applyAlignment="1">
      <alignment horizontal="center"/>
    </xf>
    <xf numFmtId="179" fontId="41" fillId="0" borderId="76" xfId="4" applyNumberFormat="1" applyFont="1" applyFill="1" applyBorder="1" applyAlignment="1" applyProtection="1">
      <alignment horizontal="center"/>
    </xf>
    <xf numFmtId="192" fontId="0" fillId="0" borderId="31" xfId="0" applyNumberFormat="1" applyBorder="1"/>
    <xf numFmtId="178" fontId="22" fillId="0" borderId="46" xfId="4" applyFont="1" applyFill="1" applyBorder="1" applyAlignment="1" applyProtection="1">
      <alignment horizontal="right" wrapText="1"/>
    </xf>
    <xf numFmtId="179" fontId="41" fillId="0" borderId="31" xfId="4" applyNumberFormat="1" applyFont="1" applyFill="1" applyBorder="1" applyAlignment="1" applyProtection="1">
      <alignment horizontal="center" wrapText="1"/>
    </xf>
    <xf numFmtId="187" fontId="41" fillId="0" borderId="31" xfId="1" applyNumberFormat="1" applyFont="1" applyFill="1" applyBorder="1" applyAlignment="1">
      <alignment horizontal="right" wrapText="1"/>
    </xf>
    <xf numFmtId="0" fontId="41" fillId="0" borderId="31" xfId="0" applyFont="1" applyFill="1" applyBorder="1" applyAlignment="1">
      <alignment horizontal="center"/>
    </xf>
    <xf numFmtId="187" fontId="47" fillId="0" borderId="31" xfId="1" applyNumberFormat="1" applyFont="1" applyFill="1" applyBorder="1" applyAlignment="1" applyProtection="1">
      <alignment horizontal="right" wrapText="1"/>
    </xf>
    <xf numFmtId="180" fontId="41" fillId="0" borderId="31" xfId="0" applyNumberFormat="1" applyFont="1" applyFill="1" applyBorder="1" applyAlignment="1">
      <alignment horizontal="center" wrapText="1"/>
    </xf>
    <xf numFmtId="178" fontId="48" fillId="0" borderId="31" xfId="4" applyFont="1" applyFill="1" applyBorder="1" applyAlignment="1" applyProtection="1"/>
    <xf numFmtId="0" fontId="49" fillId="0" borderId="0" xfId="0" applyFont="1" applyFill="1"/>
    <xf numFmtId="0" fontId="49" fillId="0" borderId="31" xfId="0" applyFont="1" applyFill="1" applyBorder="1"/>
    <xf numFmtId="17" fontId="41" fillId="0" borderId="31" xfId="0" applyNumberFormat="1" applyFont="1" applyFill="1" applyBorder="1" applyAlignment="1">
      <alignment horizontal="center" wrapText="1"/>
    </xf>
    <xf numFmtId="0" fontId="50" fillId="0" borderId="0" xfId="0" applyFont="1" applyFill="1"/>
    <xf numFmtId="187" fontId="0" fillId="0" borderId="31" xfId="1" applyNumberFormat="1" applyFont="1" applyFill="1" applyBorder="1" applyAlignment="1">
      <alignment horizontal="right" wrapText="1"/>
    </xf>
    <xf numFmtId="0" fontId="0" fillId="0" borderId="0" xfId="0" applyAlignment="1">
      <alignment vertical="center"/>
    </xf>
    <xf numFmtId="0" fontId="0" fillId="0" borderId="0" xfId="0" applyFill="1" applyBorder="1" applyAlignment="1">
      <alignment vertical="center"/>
    </xf>
    <xf numFmtId="0" fontId="0" fillId="0" borderId="0" xfId="0" applyAlignment="1">
      <alignment vertical="center" wrapText="1"/>
    </xf>
    <xf numFmtId="0" fontId="9" fillId="0" borderId="0" xfId="0" applyFont="1" applyAlignment="1">
      <alignment vertical="center"/>
    </xf>
    <xf numFmtId="0" fontId="0" fillId="0" borderId="0" xfId="0" applyFill="1" applyAlignment="1">
      <alignment vertical="center" wrapText="1"/>
    </xf>
    <xf numFmtId="0" fontId="9" fillId="0" borderId="0" xfId="0" applyFont="1" applyAlignment="1">
      <alignment horizontal="right" vertical="center"/>
    </xf>
    <xf numFmtId="0" fontId="33" fillId="15" borderId="74" xfId="0" applyFont="1" applyFill="1" applyBorder="1" applyAlignment="1">
      <alignment vertical="center"/>
    </xf>
    <xf numFmtId="0" fontId="32" fillId="0" borderId="75" xfId="0" applyFont="1" applyBorder="1" applyAlignment="1">
      <alignment vertical="center"/>
    </xf>
    <xf numFmtId="0" fontId="0" fillId="0" borderId="0" xfId="0" applyFill="1" applyBorder="1" applyAlignment="1">
      <alignment vertical="center" wrapText="1"/>
    </xf>
    <xf numFmtId="14" fontId="9" fillId="0" borderId="0" xfId="0" applyNumberFormat="1" applyFont="1" applyAlignment="1">
      <alignment horizontal="right" vertical="center"/>
    </xf>
    <xf numFmtId="0" fontId="9" fillId="2" borderId="33" xfId="0" applyFont="1" applyFill="1" applyBorder="1" applyAlignment="1">
      <alignment horizontal="center" vertical="center"/>
    </xf>
    <xf numFmtId="0" fontId="9" fillId="7" borderId="38" xfId="0" applyFont="1" applyFill="1" applyBorder="1" applyAlignment="1">
      <alignment horizontal="center" vertical="center"/>
    </xf>
    <xf numFmtId="0" fontId="9" fillId="2" borderId="38" xfId="0" applyFont="1" applyFill="1" applyBorder="1" applyAlignment="1">
      <alignment vertical="center"/>
    </xf>
    <xf numFmtId="0" fontId="9" fillId="2" borderId="38" xfId="0" applyFont="1" applyFill="1" applyBorder="1" applyAlignment="1">
      <alignment horizontal="center" vertical="center"/>
    </xf>
    <xf numFmtId="180" fontId="0" fillId="0" borderId="31" xfId="0" applyNumberFormat="1" applyFill="1" applyBorder="1" applyAlignment="1">
      <alignment horizontal="center" vertical="center" wrapText="1"/>
    </xf>
    <xf numFmtId="0" fontId="0" fillId="0" borderId="31" xfId="0" applyFill="1" applyBorder="1" applyAlignment="1">
      <alignment vertical="center" wrapText="1"/>
    </xf>
    <xf numFmtId="178" fontId="22" fillId="0" borderId="31" xfId="4" applyFont="1" applyFill="1" applyBorder="1" applyAlignment="1" applyProtection="1">
      <alignment horizontal="right" vertical="center" wrapText="1"/>
    </xf>
    <xf numFmtId="187" fontId="18" fillId="0" borderId="31" xfId="1" applyNumberFormat="1" applyFont="1" applyFill="1" applyBorder="1" applyAlignment="1">
      <alignment horizontal="right" vertical="center" wrapText="1"/>
    </xf>
    <xf numFmtId="187" fontId="9" fillId="0" borderId="31" xfId="1" applyNumberFormat="1" applyFont="1" applyFill="1" applyBorder="1" applyAlignment="1" applyProtection="1">
      <alignment horizontal="right" vertical="center" wrapText="1"/>
    </xf>
    <xf numFmtId="179" fontId="18" fillId="0" borderId="31" xfId="4" applyNumberFormat="1" applyFont="1" applyFill="1" applyBorder="1" applyAlignment="1" applyProtection="1">
      <alignment horizontal="center" vertical="center" wrapText="1"/>
    </xf>
    <xf numFmtId="14" fontId="0" fillId="0" borderId="31" xfId="0" applyNumberFormat="1" applyFont="1" applyFill="1" applyBorder="1" applyAlignment="1">
      <alignment horizontal="center" vertical="center" wrapText="1"/>
    </xf>
    <xf numFmtId="178" fontId="0" fillId="0" borderId="31" xfId="4" applyFont="1" applyFill="1" applyBorder="1" applyAlignment="1" applyProtection="1">
      <alignment horizontal="center" vertical="center" wrapText="1"/>
    </xf>
    <xf numFmtId="181" fontId="0" fillId="0" borderId="31" xfId="0" applyNumberFormat="1" applyFont="1" applyFill="1" applyBorder="1" applyAlignment="1">
      <alignment horizontal="center" vertical="center"/>
    </xf>
    <xf numFmtId="0" fontId="0" fillId="0" borderId="31" xfId="0" applyFont="1" applyFill="1" applyBorder="1" applyAlignment="1">
      <alignment vertical="center"/>
    </xf>
    <xf numFmtId="14" fontId="0" fillId="0" borderId="31" xfId="0" applyNumberFormat="1" applyFont="1" applyFill="1" applyBorder="1" applyAlignment="1">
      <alignment horizontal="center" vertical="center"/>
    </xf>
    <xf numFmtId="179" fontId="18" fillId="0" borderId="31" xfId="4" applyNumberFormat="1" applyFont="1" applyFill="1" applyBorder="1" applyAlignment="1" applyProtection="1">
      <alignment horizontal="center" vertical="center"/>
    </xf>
    <xf numFmtId="0" fontId="0" fillId="0" borderId="0" xfId="0" applyFont="1" applyFill="1" applyBorder="1" applyAlignment="1">
      <alignment vertical="center"/>
    </xf>
    <xf numFmtId="178" fontId="18" fillId="0" borderId="31" xfId="4" applyFont="1" applyFill="1" applyBorder="1" applyAlignment="1" applyProtection="1">
      <alignment horizontal="center" vertical="center" wrapText="1"/>
    </xf>
    <xf numFmtId="14" fontId="0" fillId="0" borderId="31" xfId="0" applyNumberFormat="1" applyFont="1" applyFill="1" applyBorder="1" applyAlignment="1">
      <alignment vertical="center"/>
    </xf>
    <xf numFmtId="0" fontId="0" fillId="0" borderId="31" xfId="0" applyFill="1" applyBorder="1" applyAlignment="1">
      <alignment horizontal="center" vertical="center" wrapText="1"/>
    </xf>
    <xf numFmtId="49" fontId="0" fillId="0" borderId="31" xfId="0" applyNumberFormat="1" applyFont="1" applyFill="1" applyBorder="1" applyAlignment="1">
      <alignment horizontal="center" vertical="center" wrapText="1"/>
    </xf>
    <xf numFmtId="0" fontId="0" fillId="0" borderId="31" xfId="0" applyFont="1" applyFill="1" applyBorder="1" applyAlignment="1">
      <alignment vertical="center" wrapText="1"/>
    </xf>
    <xf numFmtId="0" fontId="40" fillId="0" borderId="31" xfId="0" applyFont="1" applyFill="1" applyBorder="1" applyAlignment="1">
      <alignment vertical="center"/>
    </xf>
    <xf numFmtId="0" fontId="0" fillId="0" borderId="0" xfId="0" applyFill="1" applyAlignment="1">
      <alignment vertical="center"/>
    </xf>
    <xf numFmtId="180" fontId="0" fillId="0" borderId="31" xfId="0" applyNumberFormat="1" applyFont="1" applyFill="1" applyBorder="1" applyAlignment="1">
      <alignment horizontal="center" vertical="center" wrapText="1"/>
    </xf>
    <xf numFmtId="17" fontId="0" fillId="0" borderId="31" xfId="0" applyNumberFormat="1" applyFont="1" applyFill="1" applyBorder="1" applyAlignment="1">
      <alignment horizontal="center" vertical="center" wrapText="1"/>
    </xf>
    <xf numFmtId="0" fontId="0" fillId="0" borderId="0" xfId="0" applyFont="1" applyFill="1" applyAlignment="1">
      <alignment vertical="center"/>
    </xf>
    <xf numFmtId="179" fontId="0" fillId="0" borderId="31" xfId="4" applyNumberFormat="1" applyFont="1" applyFill="1" applyBorder="1" applyAlignment="1" applyProtection="1">
      <alignment horizontal="center" vertical="center" wrapText="1"/>
    </xf>
    <xf numFmtId="179" fontId="0" fillId="0" borderId="31" xfId="4" applyNumberFormat="1" applyFont="1" applyFill="1" applyBorder="1" applyAlignment="1" applyProtection="1">
      <alignment horizontal="center" vertical="center"/>
    </xf>
    <xf numFmtId="181" fontId="0" fillId="0" borderId="31" xfId="0" applyNumberFormat="1" applyFont="1" applyFill="1" applyBorder="1" applyAlignment="1">
      <alignment horizontal="center" vertical="center" wrapText="1"/>
    </xf>
    <xf numFmtId="0" fontId="7" fillId="0" borderId="0" xfId="0" applyFont="1" applyFill="1" applyAlignment="1">
      <alignment vertical="center"/>
    </xf>
    <xf numFmtId="0" fontId="7" fillId="0" borderId="0" xfId="0" applyFont="1" applyFill="1" applyAlignment="1">
      <alignment horizontal="left" vertical="center"/>
    </xf>
    <xf numFmtId="0" fontId="2" fillId="0" borderId="0" xfId="0" applyFont="1" applyFill="1" applyAlignment="1">
      <alignment vertical="center"/>
    </xf>
    <xf numFmtId="0" fontId="22" fillId="0" borderId="0" xfId="0" applyFont="1" applyFill="1" applyAlignment="1">
      <alignment horizontal="left" vertical="center"/>
    </xf>
    <xf numFmtId="180" fontId="41" fillId="0" borderId="76" xfId="0" applyNumberFormat="1" applyFont="1" applyFill="1" applyBorder="1" applyAlignment="1">
      <alignment horizontal="center" vertical="center" wrapText="1"/>
    </xf>
    <xf numFmtId="0" fontId="41" fillId="0" borderId="76" xfId="0" applyFont="1" applyFill="1" applyBorder="1" applyAlignment="1">
      <alignment horizontal="center" vertical="center" wrapText="1"/>
    </xf>
    <xf numFmtId="0" fontId="41" fillId="0" borderId="76" xfId="0" applyFont="1" applyFill="1" applyBorder="1" applyAlignment="1">
      <alignment vertical="center" wrapText="1"/>
    </xf>
    <xf numFmtId="178" fontId="42" fillId="0" borderId="76" xfId="4" applyFont="1" applyFill="1" applyBorder="1" applyAlignment="1" applyProtection="1">
      <alignment horizontal="right" vertical="center" wrapText="1"/>
    </xf>
    <xf numFmtId="187" fontId="47" fillId="0" borderId="76" xfId="1" applyNumberFormat="1" applyFont="1" applyFill="1" applyBorder="1" applyAlignment="1" applyProtection="1">
      <alignment horizontal="right" vertical="center" wrapText="1"/>
    </xf>
    <xf numFmtId="179" fontId="41" fillId="0" borderId="76" xfId="4" applyNumberFormat="1" applyFont="1" applyFill="1" applyBorder="1" applyAlignment="1" applyProtection="1">
      <alignment horizontal="center" vertical="center" wrapText="1"/>
    </xf>
    <xf numFmtId="14" fontId="41" fillId="0" borderId="76" xfId="0" applyNumberFormat="1" applyFont="1" applyFill="1" applyBorder="1" applyAlignment="1">
      <alignment horizontal="center" vertical="center" wrapText="1"/>
    </xf>
    <xf numFmtId="178" fontId="41" fillId="0" borderId="76" xfId="4" applyFont="1" applyFill="1" applyBorder="1" applyAlignment="1" applyProtection="1">
      <alignment horizontal="center" vertical="center" wrapText="1"/>
    </xf>
    <xf numFmtId="181" fontId="41" fillId="0" borderId="76" xfId="0" applyNumberFormat="1" applyFont="1" applyFill="1" applyBorder="1" applyAlignment="1">
      <alignment horizontal="center" vertical="center"/>
    </xf>
    <xf numFmtId="0" fontId="41" fillId="0" borderId="76" xfId="0" applyFont="1" applyFill="1" applyBorder="1" applyAlignment="1">
      <alignment vertical="center"/>
    </xf>
    <xf numFmtId="14" fontId="41" fillId="0" borderId="76" xfId="0" applyNumberFormat="1" applyFont="1" applyFill="1" applyBorder="1" applyAlignment="1">
      <alignment vertical="center"/>
    </xf>
    <xf numFmtId="14" fontId="41" fillId="0" borderId="76" xfId="0" applyNumberFormat="1" applyFont="1" applyFill="1" applyBorder="1" applyAlignment="1">
      <alignment horizontal="center" vertical="center"/>
    </xf>
    <xf numFmtId="179" fontId="41" fillId="0" borderId="76" xfId="4" applyNumberFormat="1" applyFont="1" applyFill="1" applyBorder="1" applyAlignment="1" applyProtection="1">
      <alignment horizontal="center" vertical="center"/>
    </xf>
    <xf numFmtId="0" fontId="41" fillId="0" borderId="0" xfId="0" applyFont="1" applyFill="1" applyBorder="1" applyAlignment="1">
      <alignment vertical="center"/>
    </xf>
    <xf numFmtId="0" fontId="0" fillId="0" borderId="31" xfId="0" applyFill="1" applyBorder="1" applyAlignment="1">
      <alignment horizontal="center" vertical="center"/>
    </xf>
    <xf numFmtId="0" fontId="0" fillId="0" borderId="31" xfId="0" applyFont="1" applyFill="1" applyBorder="1" applyAlignment="1">
      <alignment horizontal="center" vertical="center"/>
    </xf>
    <xf numFmtId="14" fontId="0" fillId="0" borderId="31" xfId="0" applyNumberFormat="1" applyFont="1" applyFill="1" applyBorder="1" applyAlignment="1">
      <alignment vertical="center" wrapText="1" shrinkToFit="1"/>
    </xf>
    <xf numFmtId="0" fontId="41" fillId="0" borderId="31" xfId="0" applyFont="1" applyFill="1" applyBorder="1" applyAlignment="1">
      <alignment horizontal="center" vertical="center" wrapText="1"/>
    </xf>
    <xf numFmtId="49" fontId="41" fillId="0" borderId="31" xfId="0" applyNumberFormat="1" applyFont="1" applyFill="1" applyBorder="1" applyAlignment="1">
      <alignment horizontal="center" vertical="center" wrapText="1"/>
    </xf>
    <xf numFmtId="0" fontId="41" fillId="0" borderId="31" xfId="0" applyFont="1" applyFill="1" applyBorder="1" applyAlignment="1">
      <alignment vertical="center" wrapText="1"/>
    </xf>
    <xf numFmtId="178" fontId="46" fillId="0" borderId="31" xfId="4" applyFont="1" applyFill="1" applyBorder="1" applyAlignment="1" applyProtection="1">
      <alignment horizontal="right" vertical="center" wrapText="1"/>
    </xf>
    <xf numFmtId="14" fontId="41" fillId="0" borderId="31" xfId="0" applyNumberFormat="1" applyFont="1" applyFill="1" applyBorder="1" applyAlignment="1">
      <alignment horizontal="center" vertical="center" wrapText="1"/>
    </xf>
    <xf numFmtId="178" fontId="41" fillId="0" borderId="31" xfId="4" applyFont="1" applyFill="1" applyBorder="1" applyAlignment="1" applyProtection="1">
      <alignment horizontal="center" vertical="center" wrapText="1"/>
    </xf>
    <xf numFmtId="181" fontId="41" fillId="0" borderId="31" xfId="0" applyNumberFormat="1" applyFont="1" applyFill="1" applyBorder="1" applyAlignment="1">
      <alignment horizontal="center" vertical="center"/>
    </xf>
    <xf numFmtId="0" fontId="41" fillId="0" borderId="31" xfId="0" applyFont="1" applyFill="1" applyBorder="1" applyAlignment="1">
      <alignment vertical="center"/>
    </xf>
    <xf numFmtId="14" fontId="41" fillId="0" borderId="31" xfId="0" applyNumberFormat="1" applyFont="1" applyFill="1" applyBorder="1" applyAlignment="1">
      <alignment vertical="center"/>
    </xf>
    <xf numFmtId="14" fontId="41" fillId="0" borderId="31" xfId="0" applyNumberFormat="1" applyFont="1" applyFill="1" applyBorder="1" applyAlignment="1">
      <alignment horizontal="center" vertical="center"/>
    </xf>
    <xf numFmtId="179" fontId="41" fillId="0" borderId="31" xfId="4" applyNumberFormat="1" applyFont="1" applyFill="1" applyBorder="1" applyAlignment="1" applyProtection="1">
      <alignment horizontal="center" vertical="center"/>
    </xf>
    <xf numFmtId="0" fontId="2" fillId="0" borderId="31" xfId="0" applyFont="1" applyFill="1" applyBorder="1" applyAlignment="1">
      <alignment vertical="center"/>
    </xf>
    <xf numFmtId="178" fontId="30" fillId="0" borderId="31" xfId="4" applyFont="1" applyFill="1" applyBorder="1" applyAlignment="1" applyProtection="1">
      <alignment horizontal="right" vertical="center" wrapText="1"/>
    </xf>
    <xf numFmtId="181" fontId="7" fillId="0" borderId="31" xfId="0" applyNumberFormat="1" applyFont="1" applyFill="1" applyBorder="1" applyAlignment="1">
      <alignment horizontal="center" vertical="center" wrapText="1"/>
    </xf>
    <xf numFmtId="187" fontId="18" fillId="0" borderId="31" xfId="1" quotePrefix="1" applyNumberFormat="1" applyFont="1" applyFill="1" applyBorder="1" applyAlignment="1">
      <alignment horizontal="right" vertical="center" wrapText="1"/>
    </xf>
    <xf numFmtId="179" fontId="18" fillId="9" borderId="31" xfId="4" applyNumberFormat="1" applyFont="1" applyFill="1" applyBorder="1" applyAlignment="1" applyProtection="1">
      <alignment horizontal="center" vertical="center" wrapText="1"/>
    </xf>
    <xf numFmtId="179" fontId="41" fillId="9" borderId="31" xfId="4" applyNumberFormat="1" applyFont="1" applyFill="1" applyBorder="1" applyAlignment="1" applyProtection="1">
      <alignment horizontal="center" vertical="center" wrapText="1"/>
    </xf>
    <xf numFmtId="176" fontId="0" fillId="0" borderId="31" xfId="1" applyFont="1" applyBorder="1" applyAlignment="1">
      <alignment horizontal="center" vertical="center"/>
    </xf>
    <xf numFmtId="0" fontId="9" fillId="0" borderId="31" xfId="0" applyFont="1" applyFill="1" applyBorder="1" applyAlignment="1">
      <alignment horizontal="center" vertical="center" wrapText="1"/>
    </xf>
    <xf numFmtId="179" fontId="9" fillId="0" borderId="31" xfId="4" applyNumberFormat="1" applyFont="1" applyFill="1" applyBorder="1" applyAlignment="1" applyProtection="1">
      <alignment horizontal="center" vertical="center" wrapText="1"/>
    </xf>
    <xf numFmtId="14" fontId="9" fillId="0" borderId="31" xfId="0" applyNumberFormat="1" applyFont="1" applyFill="1" applyBorder="1" applyAlignment="1">
      <alignment horizontal="center" vertical="center" wrapText="1"/>
    </xf>
    <xf numFmtId="178" fontId="9" fillId="0" borderId="31" xfId="4" applyFont="1" applyFill="1" applyBorder="1" applyAlignment="1" applyProtection="1">
      <alignment horizontal="center" vertical="center" wrapText="1"/>
    </xf>
    <xf numFmtId="181" fontId="9" fillId="0" borderId="31" xfId="0" applyNumberFormat="1" applyFont="1" applyFill="1" applyBorder="1" applyAlignment="1">
      <alignment horizontal="center" vertical="center"/>
    </xf>
    <xf numFmtId="0" fontId="9" fillId="0" borderId="31" xfId="0" applyFont="1" applyFill="1" applyBorder="1" applyAlignment="1">
      <alignment vertical="center"/>
    </xf>
    <xf numFmtId="14" fontId="9" fillId="0" borderId="31" xfId="0" applyNumberFormat="1" applyFont="1" applyFill="1" applyBorder="1" applyAlignment="1">
      <alignment vertical="center"/>
    </xf>
    <xf numFmtId="14" fontId="9" fillId="0" borderId="31" xfId="0" applyNumberFormat="1" applyFont="1" applyFill="1" applyBorder="1" applyAlignment="1">
      <alignment horizontal="center" vertical="center"/>
    </xf>
    <xf numFmtId="179" fontId="9" fillId="0" borderId="31" xfId="4" applyNumberFormat="1" applyFont="1" applyFill="1" applyBorder="1" applyAlignment="1" applyProtection="1">
      <alignment horizontal="center" vertical="center"/>
    </xf>
    <xf numFmtId="0" fontId="9" fillId="0" borderId="0" xfId="0" applyFont="1" applyFill="1" applyBorder="1" applyAlignment="1">
      <alignment vertical="center"/>
    </xf>
    <xf numFmtId="178" fontId="42" fillId="0" borderId="31" xfId="4" applyFont="1" applyFill="1" applyBorder="1" applyAlignment="1" applyProtection="1">
      <alignment horizontal="right" vertical="center" wrapText="1"/>
    </xf>
    <xf numFmtId="176" fontId="0" fillId="0" borderId="31" xfId="1" applyFont="1" applyFill="1" applyBorder="1" applyAlignment="1">
      <alignment horizontal="right" vertical="center"/>
    </xf>
    <xf numFmtId="187" fontId="9" fillId="10" borderId="31" xfId="1" applyNumberFormat="1" applyFont="1" applyFill="1" applyBorder="1" applyAlignment="1" applyProtection="1">
      <alignment horizontal="right" vertical="center" wrapText="1"/>
    </xf>
    <xf numFmtId="180" fontId="0" fillId="11" borderId="31" xfId="0" applyNumberFormat="1" applyFont="1" applyFill="1" applyBorder="1" applyAlignment="1">
      <alignment horizontal="center" vertical="center" wrapText="1"/>
    </xf>
    <xf numFmtId="0" fontId="0" fillId="11" borderId="31" xfId="0" applyFont="1" applyFill="1" applyBorder="1" applyAlignment="1">
      <alignment horizontal="center" vertical="center" wrapText="1"/>
    </xf>
    <xf numFmtId="0" fontId="0" fillId="11" borderId="31" xfId="0" applyFont="1" applyFill="1" applyBorder="1" applyAlignment="1">
      <alignment vertical="center" wrapText="1"/>
    </xf>
    <xf numFmtId="178" fontId="22" fillId="11" borderId="31" xfId="4" applyFont="1" applyFill="1" applyBorder="1" applyAlignment="1" applyProtection="1">
      <alignment horizontal="right" vertical="center" wrapText="1"/>
    </xf>
    <xf numFmtId="187" fontId="18" fillId="11" borderId="31" xfId="1" applyNumberFormat="1" applyFont="1" applyFill="1" applyBorder="1" applyAlignment="1">
      <alignment horizontal="right" vertical="center" wrapText="1"/>
    </xf>
    <xf numFmtId="187" fontId="9" fillId="11" borderId="31" xfId="1" applyNumberFormat="1" applyFont="1" applyFill="1" applyBorder="1" applyAlignment="1" applyProtection="1">
      <alignment horizontal="right" vertical="center" wrapText="1"/>
    </xf>
    <xf numFmtId="179" fontId="18" fillId="11" borderId="31" xfId="4" applyNumberFormat="1" applyFont="1" applyFill="1" applyBorder="1" applyAlignment="1" applyProtection="1">
      <alignment horizontal="center" vertical="center" wrapText="1"/>
    </xf>
    <xf numFmtId="14" fontId="0" fillId="11" borderId="31" xfId="0" applyNumberFormat="1" applyFont="1" applyFill="1" applyBorder="1" applyAlignment="1">
      <alignment horizontal="center" vertical="center" wrapText="1"/>
    </xf>
    <xf numFmtId="178" fontId="18" fillId="11" borderId="31" xfId="4" applyFont="1" applyFill="1" applyBorder="1" applyAlignment="1" applyProtection="1">
      <alignment horizontal="center" vertical="center" wrapText="1"/>
    </xf>
    <xf numFmtId="181" fontId="0" fillId="11" borderId="31" xfId="0" applyNumberFormat="1" applyFont="1" applyFill="1" applyBorder="1" applyAlignment="1">
      <alignment horizontal="center" vertical="center"/>
    </xf>
    <xf numFmtId="0" fontId="0" fillId="11" borderId="31" xfId="0" applyFont="1" applyFill="1" applyBorder="1" applyAlignment="1">
      <alignment vertical="center"/>
    </xf>
    <xf numFmtId="14" fontId="0" fillId="11" borderId="31" xfId="0" applyNumberFormat="1" applyFont="1" applyFill="1" applyBorder="1" applyAlignment="1">
      <alignment vertical="center"/>
    </xf>
    <xf numFmtId="14" fontId="0" fillId="11" borderId="31" xfId="0" applyNumberFormat="1" applyFont="1" applyFill="1" applyBorder="1" applyAlignment="1">
      <alignment horizontal="center" vertical="center"/>
    </xf>
    <xf numFmtId="179" fontId="18" fillId="11" borderId="31" xfId="4" applyNumberFormat="1" applyFont="1" applyFill="1" applyBorder="1" applyAlignment="1" applyProtection="1">
      <alignment horizontal="center" vertical="center"/>
    </xf>
    <xf numFmtId="0" fontId="0" fillId="11" borderId="0" xfId="0" applyFont="1" applyFill="1" applyBorder="1" applyAlignment="1">
      <alignment vertical="center"/>
    </xf>
    <xf numFmtId="17" fontId="0" fillId="11" borderId="31" xfId="0" applyNumberFormat="1" applyFont="1" applyFill="1" applyBorder="1" applyAlignment="1">
      <alignment horizontal="center" vertical="center" wrapText="1"/>
    </xf>
    <xf numFmtId="0" fontId="0" fillId="11" borderId="0" xfId="0" applyFill="1" applyAlignment="1">
      <alignment vertical="center"/>
    </xf>
    <xf numFmtId="49" fontId="0" fillId="11" borderId="31" xfId="0" applyNumberFormat="1" applyFont="1" applyFill="1" applyBorder="1" applyAlignment="1">
      <alignment horizontal="center" vertical="center" wrapText="1"/>
    </xf>
    <xf numFmtId="0" fontId="0" fillId="11" borderId="0" xfId="0" applyFont="1" applyFill="1" applyAlignment="1">
      <alignment vertical="center"/>
    </xf>
    <xf numFmtId="178" fontId="30" fillId="11" borderId="31" xfId="4" applyFont="1" applyFill="1" applyBorder="1" applyAlignment="1" applyProtection="1">
      <alignment horizontal="right" vertical="center" wrapText="1"/>
    </xf>
    <xf numFmtId="176" fontId="18" fillId="11" borderId="31" xfId="1" applyFont="1" applyFill="1" applyBorder="1" applyAlignment="1">
      <alignment horizontal="right" vertical="center"/>
    </xf>
    <xf numFmtId="176" fontId="18" fillId="11" borderId="31" xfId="1" applyFont="1" applyFill="1" applyBorder="1" applyAlignment="1">
      <alignment horizontal="right" vertical="center"/>
    </xf>
    <xf numFmtId="181" fontId="7" fillId="11" borderId="31" xfId="0" applyNumberFormat="1" applyFont="1" applyFill="1" applyBorder="1" applyAlignment="1">
      <alignment horizontal="center" vertical="center" wrapText="1"/>
    </xf>
    <xf numFmtId="178" fontId="22" fillId="11" borderId="46" xfId="4" applyFont="1" applyFill="1" applyBorder="1" applyAlignment="1" applyProtection="1">
      <alignment horizontal="right" vertical="center" wrapText="1"/>
    </xf>
    <xf numFmtId="176" fontId="18" fillId="11" borderId="0" xfId="1" applyFont="1" applyFill="1" applyAlignment="1">
      <alignment horizontal="right" vertical="center"/>
    </xf>
    <xf numFmtId="0" fontId="41" fillId="11" borderId="31" xfId="0" applyFont="1" applyFill="1" applyBorder="1" applyAlignment="1">
      <alignment horizontal="center" vertical="center" wrapText="1"/>
    </xf>
    <xf numFmtId="179" fontId="18" fillId="11" borderId="31" xfId="4" applyNumberFormat="1" applyFont="1" applyFill="1" applyBorder="1" applyAlignment="1" applyProtection="1">
      <alignment horizontal="center" vertical="center" wrapText="1"/>
    </xf>
    <xf numFmtId="178" fontId="18" fillId="11" borderId="31" xfId="4" applyFont="1" applyFill="1" applyBorder="1" applyAlignment="1" applyProtection="1">
      <alignment horizontal="center" vertical="center" wrapText="1"/>
    </xf>
    <xf numFmtId="179" fontId="18" fillId="11" borderId="31" xfId="4" applyNumberFormat="1" applyFont="1" applyFill="1" applyBorder="1" applyAlignment="1" applyProtection="1">
      <alignment horizontal="center" vertical="center"/>
    </xf>
    <xf numFmtId="187" fontId="18" fillId="11" borderId="31" xfId="1" applyNumberFormat="1" applyFont="1" applyFill="1" applyBorder="1" applyAlignment="1">
      <alignment vertical="center" wrapText="1"/>
    </xf>
    <xf numFmtId="187" fontId="18" fillId="11" borderId="31" xfId="1" applyNumberFormat="1" applyFont="1" applyFill="1" applyBorder="1" applyAlignment="1">
      <alignment vertical="center" wrapText="1"/>
    </xf>
    <xf numFmtId="181" fontId="0" fillId="11" borderId="31" xfId="0" applyNumberFormat="1" applyFont="1" applyFill="1" applyBorder="1" applyAlignment="1">
      <alignment horizontal="center" vertical="center" wrapText="1"/>
    </xf>
    <xf numFmtId="176" fontId="18" fillId="11" borderId="31" xfId="1" applyFont="1" applyFill="1" applyBorder="1" applyAlignment="1">
      <alignment horizontal="center" vertical="center"/>
    </xf>
    <xf numFmtId="176" fontId="18" fillId="11" borderId="31" xfId="1" applyFont="1" applyFill="1" applyBorder="1" applyAlignment="1">
      <alignment horizontal="center" vertical="center"/>
    </xf>
    <xf numFmtId="187" fontId="18" fillId="11" borderId="31" xfId="1" quotePrefix="1" applyNumberFormat="1" applyFont="1" applyFill="1" applyBorder="1" applyAlignment="1">
      <alignment horizontal="right" vertical="center" wrapText="1"/>
    </xf>
    <xf numFmtId="187" fontId="0" fillId="0" borderId="31" xfId="1" applyNumberFormat="1" applyFont="1" applyFill="1" applyBorder="1" applyAlignment="1">
      <alignment horizontal="right" vertical="center" wrapText="1"/>
    </xf>
    <xf numFmtId="187" fontId="47" fillId="0" borderId="31" xfId="1" applyNumberFormat="1" applyFont="1" applyFill="1" applyBorder="1" applyAlignment="1" applyProtection="1">
      <alignment horizontal="right" vertical="center" wrapText="1"/>
    </xf>
    <xf numFmtId="187" fontId="9" fillId="0" borderId="31" xfId="1" applyNumberFormat="1" applyFont="1" applyFill="1" applyBorder="1" applyAlignment="1">
      <alignment horizontal="right" vertical="center" wrapText="1"/>
    </xf>
    <xf numFmtId="176" fontId="18" fillId="0" borderId="31" xfId="1" applyFont="1" applyFill="1" applyBorder="1" applyAlignment="1">
      <alignment horizontal="right" vertical="center"/>
    </xf>
    <xf numFmtId="181" fontId="41" fillId="0" borderId="31" xfId="0" applyNumberFormat="1" applyFont="1" applyFill="1" applyBorder="1" applyAlignment="1">
      <alignment horizontal="center" vertical="center" wrapText="1"/>
    </xf>
    <xf numFmtId="0" fontId="40" fillId="0" borderId="31" xfId="0" applyFont="1" applyFill="1" applyBorder="1" applyAlignment="1">
      <alignment vertical="center" wrapText="1"/>
    </xf>
    <xf numFmtId="187" fontId="18" fillId="0" borderId="31" xfId="1" applyNumberFormat="1" applyFont="1" applyFill="1" applyBorder="1" applyAlignment="1">
      <alignment vertical="center" wrapText="1"/>
    </xf>
    <xf numFmtId="187" fontId="18" fillId="11" borderId="31" xfId="1" applyNumberFormat="1" applyFont="1" applyFill="1" applyBorder="1" applyAlignment="1">
      <alignment horizontal="right" vertical="center" wrapText="1"/>
    </xf>
    <xf numFmtId="0" fontId="51" fillId="0" borderId="0" xfId="0" applyFont="1" applyAlignment="1">
      <alignment vertical="center"/>
    </xf>
    <xf numFmtId="0" fontId="51" fillId="0" borderId="0" xfId="0" applyFont="1" applyFill="1" applyBorder="1" applyAlignment="1">
      <alignment vertical="center"/>
    </xf>
    <xf numFmtId="0" fontId="51" fillId="0" borderId="0" xfId="0" applyFont="1" applyAlignment="1">
      <alignment vertical="center" wrapText="1"/>
    </xf>
    <xf numFmtId="0" fontId="51" fillId="0" borderId="0" xfId="0" applyFont="1" applyFill="1" applyAlignment="1">
      <alignment vertical="center" wrapText="1"/>
    </xf>
    <xf numFmtId="0" fontId="52" fillId="0" borderId="31" xfId="0" applyFont="1" applyFill="1" applyBorder="1" applyAlignment="1" applyProtection="1">
      <alignment horizontal="center" vertical="center" wrapText="1"/>
      <protection locked="0"/>
    </xf>
    <xf numFmtId="0" fontId="52" fillId="0" borderId="31" xfId="0" applyFont="1" applyFill="1" applyBorder="1" applyAlignment="1" applyProtection="1">
      <alignment vertical="center" wrapText="1"/>
      <protection locked="0"/>
    </xf>
    <xf numFmtId="178" fontId="53" fillId="0" borderId="31" xfId="4" applyFont="1" applyFill="1" applyBorder="1" applyAlignment="1" applyProtection="1">
      <alignment horizontal="right" vertical="center" wrapText="1"/>
      <protection locked="0"/>
    </xf>
    <xf numFmtId="14" fontId="52" fillId="0" borderId="31" xfId="0" applyNumberFormat="1" applyFont="1" applyFill="1" applyBorder="1" applyAlignment="1" applyProtection="1">
      <alignment horizontal="center" vertical="center" wrapText="1"/>
      <protection locked="0"/>
    </xf>
    <xf numFmtId="178" fontId="52" fillId="0" borderId="31" xfId="4" applyFont="1" applyFill="1" applyBorder="1" applyAlignment="1" applyProtection="1">
      <alignment horizontal="center" vertical="center" wrapText="1"/>
      <protection locked="0"/>
    </xf>
    <xf numFmtId="181" fontId="52" fillId="0" borderId="31" xfId="0" applyNumberFormat="1" applyFont="1" applyFill="1" applyBorder="1" applyAlignment="1" applyProtection="1">
      <alignment horizontal="center" vertical="center" wrapText="1"/>
      <protection locked="0"/>
    </xf>
    <xf numFmtId="14" fontId="52" fillId="0" borderId="31" xfId="0" applyNumberFormat="1" applyFont="1" applyFill="1" applyBorder="1" applyAlignment="1" applyProtection="1">
      <alignment horizontal="center" vertical="center"/>
      <protection locked="0"/>
    </xf>
    <xf numFmtId="0" fontId="51" fillId="0" borderId="0" xfId="0" applyFont="1" applyFill="1" applyBorder="1" applyAlignment="1" applyProtection="1">
      <alignment vertical="center"/>
      <protection locked="0"/>
    </xf>
    <xf numFmtId="0" fontId="52" fillId="0" borderId="0" xfId="0" applyFont="1" applyFill="1" applyBorder="1" applyAlignment="1" applyProtection="1">
      <alignment vertical="center"/>
      <protection locked="0"/>
    </xf>
    <xf numFmtId="180" fontId="51" fillId="0" borderId="31" xfId="0" applyNumberFormat="1" applyFont="1" applyFill="1" applyBorder="1" applyAlignment="1">
      <alignment horizontal="center" vertical="center" wrapText="1"/>
    </xf>
    <xf numFmtId="0" fontId="51" fillId="0" borderId="31" xfId="0" applyFont="1" applyFill="1" applyBorder="1" applyAlignment="1">
      <alignment horizontal="center" vertical="center" wrapText="1"/>
    </xf>
    <xf numFmtId="0" fontId="51" fillId="0" borderId="31" xfId="0" applyFont="1" applyFill="1" applyBorder="1" applyAlignment="1">
      <alignment vertical="center" wrapText="1"/>
    </xf>
    <xf numFmtId="178" fontId="54" fillId="0" borderId="31" xfId="4" applyFont="1" applyFill="1" applyBorder="1" applyAlignment="1" applyProtection="1">
      <alignment horizontal="right" vertical="center" wrapText="1"/>
    </xf>
    <xf numFmtId="14" fontId="51" fillId="0" borderId="31" xfId="0" applyNumberFormat="1" applyFont="1" applyFill="1" applyBorder="1" applyAlignment="1">
      <alignment horizontal="center" vertical="center" wrapText="1"/>
    </xf>
    <xf numFmtId="178" fontId="51" fillId="0" borderId="31" xfId="4" applyFont="1" applyFill="1" applyBorder="1" applyAlignment="1" applyProtection="1">
      <alignment horizontal="center" vertical="center" wrapText="1"/>
    </xf>
    <xf numFmtId="181" fontId="51" fillId="0" borderId="31" xfId="0" applyNumberFormat="1" applyFont="1" applyFill="1" applyBorder="1" applyAlignment="1">
      <alignment horizontal="center" vertical="center" wrapText="1"/>
    </xf>
    <xf numFmtId="14" fontId="51" fillId="0" borderId="31" xfId="0" applyNumberFormat="1" applyFont="1" applyFill="1" applyBorder="1" applyAlignment="1">
      <alignment horizontal="center" vertical="center"/>
    </xf>
    <xf numFmtId="49" fontId="51" fillId="0" borderId="31" xfId="0" applyNumberFormat="1" applyFont="1" applyFill="1" applyBorder="1" applyAlignment="1">
      <alignment horizontal="center" vertical="center" wrapText="1"/>
    </xf>
    <xf numFmtId="0" fontId="55" fillId="0" borderId="31" xfId="0" applyFont="1" applyFill="1" applyBorder="1" applyAlignment="1">
      <alignment vertical="center" wrapText="1"/>
    </xf>
    <xf numFmtId="0" fontId="51" fillId="0" borderId="0" xfId="0" applyFont="1" applyFill="1" applyAlignment="1">
      <alignment vertical="center"/>
    </xf>
    <xf numFmtId="0" fontId="56" fillId="0" borderId="0" xfId="0" applyFont="1" applyFill="1" applyAlignment="1">
      <alignment vertical="center"/>
    </xf>
    <xf numFmtId="49" fontId="51" fillId="11" borderId="31" xfId="0" applyNumberFormat="1" applyFont="1" applyFill="1" applyBorder="1" applyAlignment="1">
      <alignment horizontal="center" vertical="center" wrapText="1"/>
    </xf>
    <xf numFmtId="0" fontId="51" fillId="11" borderId="31" xfId="0" applyFont="1" applyFill="1" applyBorder="1" applyAlignment="1">
      <alignment horizontal="center" vertical="center" wrapText="1"/>
    </xf>
    <xf numFmtId="0" fontId="51" fillId="11" borderId="31" xfId="0" applyFont="1" applyFill="1" applyBorder="1" applyAlignment="1">
      <alignment vertical="center" wrapText="1"/>
    </xf>
    <xf numFmtId="178" fontId="54" fillId="11" borderId="31" xfId="4" applyFont="1" applyFill="1" applyBorder="1" applyAlignment="1" applyProtection="1">
      <alignment horizontal="right" vertical="center" wrapText="1"/>
    </xf>
    <xf numFmtId="14" fontId="51" fillId="11" borderId="31" xfId="0" applyNumberFormat="1" applyFont="1" applyFill="1" applyBorder="1" applyAlignment="1">
      <alignment horizontal="center" vertical="center" wrapText="1"/>
    </xf>
    <xf numFmtId="178" fontId="51" fillId="11" borderId="31" xfId="4" applyFont="1" applyFill="1" applyBorder="1" applyAlignment="1" applyProtection="1">
      <alignment horizontal="center" vertical="center" wrapText="1"/>
    </xf>
    <xf numFmtId="181" fontId="51" fillId="11" borderId="31" xfId="0" applyNumberFormat="1" applyFont="1" applyFill="1" applyBorder="1" applyAlignment="1">
      <alignment horizontal="center" vertical="center" wrapText="1"/>
    </xf>
    <xf numFmtId="14" fontId="51" fillId="11" borderId="31" xfId="0" applyNumberFormat="1" applyFont="1" applyFill="1" applyBorder="1" applyAlignment="1">
      <alignment horizontal="center" vertical="center"/>
    </xf>
    <xf numFmtId="0" fontId="51" fillId="11" borderId="0" xfId="0" applyFont="1" applyFill="1" applyAlignment="1">
      <alignment vertical="center"/>
    </xf>
    <xf numFmtId="0" fontId="54" fillId="0" borderId="0" xfId="0" applyFont="1" applyFill="1" applyAlignment="1">
      <alignment horizontal="left" vertical="center"/>
    </xf>
    <xf numFmtId="0" fontId="51" fillId="0" borderId="0" xfId="0" applyFont="1" applyFill="1" applyAlignment="1">
      <alignment horizontal="left" vertical="center"/>
    </xf>
    <xf numFmtId="0" fontId="57" fillId="2" borderId="33" xfId="0" applyFont="1" applyFill="1" applyBorder="1" applyAlignment="1">
      <alignment horizontal="center" vertical="center" wrapText="1"/>
    </xf>
    <xf numFmtId="14" fontId="57" fillId="2" borderId="33" xfId="0" applyNumberFormat="1" applyFont="1" applyFill="1" applyBorder="1" applyAlignment="1">
      <alignment horizontal="center" vertical="center" wrapText="1"/>
    </xf>
    <xf numFmtId="49" fontId="57" fillId="2" borderId="33" xfId="0" applyNumberFormat="1" applyFont="1" applyFill="1" applyBorder="1" applyAlignment="1">
      <alignment horizontal="center" vertical="center" wrapText="1" shrinkToFit="1"/>
    </xf>
    <xf numFmtId="0" fontId="57" fillId="2" borderId="34" xfId="0" applyFont="1" applyFill="1" applyBorder="1" applyAlignment="1">
      <alignment horizontal="center" vertical="center" wrapText="1"/>
    </xf>
    <xf numFmtId="0" fontId="57" fillId="2" borderId="32" xfId="0" applyFont="1" applyFill="1" applyBorder="1" applyAlignment="1">
      <alignment horizontal="center" vertical="center" wrapText="1"/>
    </xf>
    <xf numFmtId="0" fontId="58" fillId="0" borderId="31" xfId="0" applyFont="1" applyFill="1" applyBorder="1" applyAlignment="1">
      <alignment horizontal="center" vertical="center" wrapText="1"/>
    </xf>
    <xf numFmtId="0" fontId="51" fillId="0" borderId="31" xfId="0" applyFont="1" applyBorder="1" applyAlignment="1">
      <alignment vertical="center"/>
    </xf>
    <xf numFmtId="4" fontId="2" fillId="0" borderId="0" xfId="0" applyNumberFormat="1" applyFont="1"/>
    <xf numFmtId="4" fontId="2" fillId="0" borderId="31" xfId="0" applyNumberFormat="1" applyFont="1" applyBorder="1"/>
    <xf numFmtId="14" fontId="2" fillId="0" borderId="0" xfId="0" applyNumberFormat="1" applyFont="1" applyAlignment="1">
      <alignment horizontal="center"/>
    </xf>
    <xf numFmtId="1" fontId="51" fillId="0" borderId="31" xfId="0" applyNumberFormat="1" applyFont="1" applyFill="1" applyBorder="1" applyAlignment="1">
      <alignment vertical="center" wrapText="1"/>
    </xf>
    <xf numFmtId="1" fontId="51" fillId="0" borderId="31" xfId="0" applyNumberFormat="1" applyFont="1" applyBorder="1" applyAlignment="1">
      <alignment vertical="center"/>
    </xf>
    <xf numFmtId="1" fontId="51" fillId="0" borderId="31" xfId="0" applyNumberFormat="1" applyFont="1" applyFill="1" applyBorder="1" applyAlignment="1">
      <alignment horizontal="center" vertical="center" wrapText="1"/>
    </xf>
    <xf numFmtId="1" fontId="51" fillId="0" borderId="31" xfId="0" applyNumberFormat="1" applyFont="1" applyBorder="1" applyAlignment="1">
      <alignment horizontal="center" vertical="center" wrapText="1"/>
    </xf>
    <xf numFmtId="0" fontId="51" fillId="0" borderId="31" xfId="0" applyFont="1" applyFill="1" applyBorder="1" applyAlignment="1">
      <alignment horizontal="center" vertical="center"/>
    </xf>
    <xf numFmtId="0" fontId="51" fillId="0" borderId="31" xfId="0" applyFont="1" applyBorder="1" applyAlignment="1">
      <alignment horizontal="center" vertical="center"/>
    </xf>
    <xf numFmtId="1" fontId="51" fillId="0" borderId="31" xfId="0" applyNumberFormat="1" applyFont="1" applyBorder="1" applyAlignment="1">
      <alignment horizontal="center" vertical="center"/>
    </xf>
    <xf numFmtId="0" fontId="2" fillId="0" borderId="0" xfId="0" applyNumberFormat="1" applyFont="1" applyAlignment="1">
      <alignment wrapText="1"/>
    </xf>
    <xf numFmtId="1" fontId="51" fillId="0" borderId="0" xfId="0" applyNumberFormat="1" applyFont="1" applyAlignment="1">
      <alignment horizontal="center" vertical="center"/>
    </xf>
    <xf numFmtId="14" fontId="51" fillId="0" borderId="0" xfId="0" applyNumberFormat="1" applyFont="1" applyAlignment="1">
      <alignment vertical="center"/>
    </xf>
    <xf numFmtId="1" fontId="51" fillId="0" borderId="31" xfId="0" applyNumberFormat="1" applyFont="1" applyBorder="1" applyAlignment="1">
      <alignment horizontal="center"/>
    </xf>
    <xf numFmtId="0" fontId="51" fillId="0" borderId="0" xfId="0" applyFont="1" applyAlignment="1">
      <alignment horizontal="center" vertical="center"/>
    </xf>
    <xf numFmtId="14" fontId="51" fillId="0" borderId="0" xfId="0" applyNumberFormat="1" applyFont="1" applyAlignment="1">
      <alignment horizontal="center" vertical="center"/>
    </xf>
    <xf numFmtId="0" fontId="52" fillId="0" borderId="31" xfId="0" applyFont="1" applyFill="1" applyBorder="1" applyAlignment="1" applyProtection="1">
      <alignment horizontal="justify" vertical="center" wrapText="1"/>
      <protection locked="0"/>
    </xf>
    <xf numFmtId="0" fontId="51" fillId="0" borderId="31" xfId="0" applyFont="1" applyFill="1" applyBorder="1" applyAlignment="1">
      <alignment horizontal="justify" vertical="center" wrapText="1"/>
    </xf>
    <xf numFmtId="0" fontId="51" fillId="11" borderId="31" xfId="0" applyFont="1" applyFill="1" applyBorder="1" applyAlignment="1">
      <alignment horizontal="justify" vertical="center" wrapText="1"/>
    </xf>
    <xf numFmtId="0" fontId="51" fillId="0" borderId="31" xfId="0" applyFont="1" applyFill="1" applyBorder="1" applyAlignment="1">
      <alignment horizontal="justify" wrapText="1"/>
    </xf>
    <xf numFmtId="0" fontId="2" fillId="0" borderId="31" xfId="0" applyFont="1" applyBorder="1" applyAlignment="1">
      <alignment horizontal="justify" wrapText="1"/>
    </xf>
    <xf numFmtId="0" fontId="2" fillId="0" borderId="0" xfId="0" applyFont="1" applyAlignment="1">
      <alignment horizontal="justify" wrapText="1"/>
    </xf>
    <xf numFmtId="0" fontId="2" fillId="0" borderId="0" xfId="0" applyFont="1" applyAlignment="1">
      <alignment horizontal="justify"/>
    </xf>
    <xf numFmtId="0" fontId="51" fillId="0" borderId="31" xfId="0" applyFont="1" applyFill="1" applyBorder="1" applyAlignment="1">
      <alignment horizontal="justify" vertical="justify" wrapText="1"/>
    </xf>
    <xf numFmtId="178" fontId="54" fillId="0" borderId="31" xfId="4" applyFont="1" applyFill="1" applyBorder="1" applyAlignment="1" applyProtection="1">
      <alignment horizontal="center" vertical="center" wrapText="1"/>
    </xf>
    <xf numFmtId="0" fontId="59" fillId="0" borderId="0" xfId="0" applyFont="1" applyFill="1"/>
    <xf numFmtId="0" fontId="51" fillId="0" borderId="0" xfId="0" applyFont="1" applyFill="1" applyAlignment="1">
      <alignment horizontal="center" vertical="center"/>
    </xf>
    <xf numFmtId="0" fontId="51" fillId="0" borderId="46" xfId="0" applyFont="1" applyFill="1" applyBorder="1" applyAlignment="1">
      <alignment vertical="center" wrapText="1"/>
    </xf>
    <xf numFmtId="178" fontId="54" fillId="0" borderId="48" xfId="4" applyFont="1" applyFill="1" applyBorder="1" applyAlignment="1" applyProtection="1">
      <alignment horizontal="center" vertical="center" wrapText="1"/>
    </xf>
    <xf numFmtId="0" fontId="57" fillId="0" borderId="48" xfId="0" applyFont="1" applyFill="1" applyBorder="1" applyAlignment="1">
      <alignment horizontal="center" vertical="center" wrapText="1"/>
    </xf>
    <xf numFmtId="0" fontId="51" fillId="0" borderId="48" xfId="0" applyFont="1" applyFill="1" applyBorder="1" applyAlignment="1">
      <alignment horizontal="center" vertical="center" wrapText="1"/>
    </xf>
    <xf numFmtId="178" fontId="54" fillId="0" borderId="48" xfId="4" applyFont="1" applyFill="1" applyBorder="1" applyAlignment="1" applyProtection="1">
      <alignment horizontal="right" vertical="center" wrapText="1"/>
    </xf>
    <xf numFmtId="0" fontId="37" fillId="0" borderId="31" xfId="0" applyFont="1" applyBorder="1" applyAlignment="1">
      <alignment horizontal="justify" wrapText="1"/>
    </xf>
    <xf numFmtId="0" fontId="60" fillId="0" borderId="31" xfId="0" applyFont="1" applyBorder="1" applyAlignment="1">
      <alignment horizontal="justify" vertical="center" wrapText="1"/>
    </xf>
    <xf numFmtId="0" fontId="5" fillId="2" borderId="79" xfId="0" applyFont="1" applyFill="1" applyBorder="1" applyAlignment="1">
      <alignment horizontal="center" vertical="center" wrapText="1"/>
    </xf>
    <xf numFmtId="0" fontId="5" fillId="2" borderId="78" xfId="0" applyFont="1" applyFill="1" applyBorder="1" applyAlignment="1">
      <alignment horizontal="center" vertical="top"/>
    </xf>
    <xf numFmtId="0" fontId="5" fillId="2" borderId="80" xfId="0" applyFont="1" applyFill="1" applyBorder="1" applyAlignment="1">
      <alignment horizontal="center" vertical="center" wrapText="1"/>
    </xf>
    <xf numFmtId="14" fontId="9" fillId="0" borderId="0" xfId="4" applyNumberFormat="1" applyFont="1" applyFill="1" applyBorder="1" applyAlignment="1" applyProtection="1">
      <alignment horizontal="left"/>
    </xf>
    <xf numFmtId="0" fontId="5" fillId="2" borderId="78" xfId="0" applyFont="1" applyFill="1" applyBorder="1" applyAlignment="1">
      <alignment horizontal="center" vertical="center" wrapText="1"/>
    </xf>
    <xf numFmtId="0" fontId="3" fillId="0" borderId="56" xfId="0" applyFont="1" applyFill="1" applyBorder="1" applyAlignment="1">
      <alignment horizontal="center"/>
    </xf>
    <xf numFmtId="0" fontId="5" fillId="2" borderId="77" xfId="0" applyFont="1" applyFill="1" applyBorder="1" applyAlignment="1">
      <alignment horizontal="center" vertical="center" wrapText="1"/>
    </xf>
    <xf numFmtId="0" fontId="5" fillId="2" borderId="78" xfId="0" applyFont="1" applyFill="1" applyBorder="1" applyAlignment="1">
      <alignment horizontal="center"/>
    </xf>
    <xf numFmtId="0" fontId="3" fillId="0" borderId="0" xfId="0" applyFont="1" applyFill="1" applyBorder="1" applyAlignment="1">
      <alignment horizontal="right" vertical="top"/>
    </xf>
    <xf numFmtId="0" fontId="5" fillId="2" borderId="16" xfId="0" applyFont="1" applyFill="1" applyBorder="1" applyAlignment="1">
      <alignment horizontal="center" vertical="center" wrapText="1"/>
    </xf>
    <xf numFmtId="14" fontId="5" fillId="2" borderId="78" xfId="0" applyNumberFormat="1" applyFont="1" applyFill="1" applyBorder="1" applyAlignment="1">
      <alignment horizontal="center" vertical="center" wrapText="1"/>
    </xf>
    <xf numFmtId="0" fontId="5" fillId="0" borderId="83" xfId="0" applyFont="1" applyFill="1" applyBorder="1" applyAlignment="1">
      <alignment horizontal="center"/>
    </xf>
    <xf numFmtId="0" fontId="5" fillId="0" borderId="84" xfId="0" applyFont="1" applyFill="1" applyBorder="1" applyAlignment="1">
      <alignment horizontal="center" vertical="center" wrapText="1"/>
    </xf>
    <xf numFmtId="178" fontId="9" fillId="0" borderId="0" xfId="4" applyFont="1" applyFill="1" applyBorder="1" applyAlignment="1" applyProtection="1">
      <alignment horizontal="right"/>
    </xf>
    <xf numFmtId="14" fontId="9" fillId="0" borderId="0" xfId="4" applyNumberFormat="1" applyFont="1" applyFill="1" applyBorder="1" applyAlignment="1" applyProtection="1">
      <alignment horizontal="right"/>
    </xf>
    <xf numFmtId="0" fontId="3" fillId="0" borderId="81" xfId="0" applyFont="1" applyFill="1" applyBorder="1" applyAlignment="1">
      <alignment horizontal="center"/>
    </xf>
    <xf numFmtId="0" fontId="5" fillId="0" borderId="2" xfId="0" applyFont="1" applyFill="1" applyBorder="1" applyAlignment="1">
      <alignment horizontal="center" vertical="center" wrapText="1"/>
    </xf>
    <xf numFmtId="0" fontId="5" fillId="0" borderId="82"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78" xfId="0" applyFont="1" applyFill="1" applyBorder="1" applyAlignment="1">
      <alignment horizontal="center" vertical="center" wrapText="1"/>
    </xf>
    <xf numFmtId="0" fontId="12" fillId="2" borderId="80" xfId="0" applyFont="1" applyFill="1" applyBorder="1" applyAlignment="1">
      <alignment horizontal="center" vertical="center" wrapText="1"/>
    </xf>
    <xf numFmtId="14" fontId="12" fillId="0" borderId="0" xfId="4" applyNumberFormat="1" applyFont="1" applyFill="1" applyBorder="1" applyAlignment="1" applyProtection="1">
      <alignment horizontal="left"/>
    </xf>
    <xf numFmtId="0" fontId="12" fillId="2" borderId="78" xfId="0" applyFont="1" applyFill="1" applyBorder="1" applyAlignment="1">
      <alignment horizontal="center"/>
    </xf>
    <xf numFmtId="0" fontId="12" fillId="2" borderId="77" xfId="0" applyFont="1" applyFill="1" applyBorder="1" applyAlignment="1">
      <alignment horizontal="center" vertical="center" wrapText="1"/>
    </xf>
    <xf numFmtId="0" fontId="12" fillId="2" borderId="1" xfId="0" applyFont="1" applyFill="1" applyBorder="1" applyAlignment="1">
      <alignment horizontal="center" vertical="center" wrapText="1"/>
    </xf>
    <xf numFmtId="14" fontId="9" fillId="0" borderId="0" xfId="0" applyNumberFormat="1" applyFont="1" applyFill="1" applyAlignment="1">
      <alignment horizontal="right"/>
    </xf>
    <xf numFmtId="0" fontId="19" fillId="0" borderId="56" xfId="0" applyFont="1" applyFill="1" applyBorder="1" applyAlignment="1">
      <alignment horizontal="center"/>
    </xf>
    <xf numFmtId="14" fontId="5" fillId="2" borderId="16" xfId="0" applyNumberFormat="1" applyFont="1" applyFill="1" applyBorder="1" applyAlignment="1">
      <alignment horizontal="center" vertical="center" wrapText="1"/>
    </xf>
    <xf numFmtId="0" fontId="5" fillId="2" borderId="86" xfId="0" applyFont="1" applyFill="1" applyBorder="1" applyAlignment="1">
      <alignment horizontal="center" vertical="center" wrapText="1"/>
    </xf>
    <xf numFmtId="0" fontId="5" fillId="2" borderId="85" xfId="0" applyFont="1" applyFill="1" applyBorder="1" applyAlignment="1">
      <alignment horizontal="center" vertical="center" wrapText="1"/>
    </xf>
    <xf numFmtId="14" fontId="3" fillId="0" borderId="0" xfId="0" applyNumberFormat="1" applyFont="1" applyFill="1" applyAlignment="1">
      <alignment horizontal="right"/>
    </xf>
    <xf numFmtId="0" fontId="3" fillId="0" borderId="0" xfId="0" applyFont="1" applyFill="1" applyBorder="1" applyAlignment="1">
      <alignment horizontal="left" vertical="top"/>
    </xf>
    <xf numFmtId="0" fontId="9" fillId="2" borderId="77" xfId="0" applyFont="1" applyFill="1" applyBorder="1" applyAlignment="1">
      <alignment horizontal="center" vertical="center" wrapText="1"/>
    </xf>
    <xf numFmtId="0" fontId="9" fillId="2" borderId="85"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54" xfId="0" applyFont="1" applyFill="1" applyBorder="1" applyAlignment="1">
      <alignment horizontal="center" vertical="center" wrapText="1"/>
    </xf>
    <xf numFmtId="0" fontId="9" fillId="2" borderId="78" xfId="0" applyFont="1" applyFill="1" applyBorder="1" applyAlignment="1">
      <alignment horizontal="center" vertical="center" wrapText="1"/>
    </xf>
    <xf numFmtId="0" fontId="9" fillId="7" borderId="78" xfId="0" applyFont="1" applyFill="1" applyBorder="1" applyAlignment="1">
      <alignment horizontal="center"/>
    </xf>
    <xf numFmtId="14" fontId="9" fillId="2" borderId="78" xfId="0" applyNumberFormat="1" applyFont="1" applyFill="1" applyBorder="1" applyAlignment="1">
      <alignment horizontal="center" vertical="center" wrapText="1"/>
    </xf>
    <xf numFmtId="14" fontId="9" fillId="2" borderId="16" xfId="0" applyNumberFormat="1" applyFont="1" applyFill="1" applyBorder="1" applyAlignment="1">
      <alignment horizontal="center" vertical="center" wrapText="1"/>
    </xf>
    <xf numFmtId="0" fontId="9" fillId="2" borderId="78" xfId="0" applyFont="1" applyFill="1" applyBorder="1" applyAlignment="1">
      <alignment horizontal="center"/>
    </xf>
    <xf numFmtId="0" fontId="9" fillId="2" borderId="80" xfId="0" applyFont="1" applyFill="1" applyBorder="1" applyAlignment="1">
      <alignment horizontal="center" vertical="center" wrapText="1"/>
    </xf>
    <xf numFmtId="0" fontId="9" fillId="2" borderId="86" xfId="0" applyFont="1" applyFill="1" applyBorder="1" applyAlignment="1">
      <alignment horizontal="center" vertical="center" wrapText="1"/>
    </xf>
    <xf numFmtId="0" fontId="0" fillId="14" borderId="0" xfId="0" applyFill="1" applyAlignment="1">
      <alignment horizontal="center" wrapText="1"/>
    </xf>
    <xf numFmtId="0" fontId="0" fillId="14" borderId="56" xfId="0" applyFill="1" applyBorder="1" applyAlignment="1">
      <alignment horizontal="center" wrapText="1"/>
    </xf>
    <xf numFmtId="0" fontId="4" fillId="0" borderId="0" xfId="0" applyFont="1" applyAlignment="1">
      <alignment horizontal="left"/>
    </xf>
    <xf numFmtId="14" fontId="4" fillId="0" borderId="0" xfId="0" applyNumberFormat="1" applyFont="1" applyAlignment="1">
      <alignment horizontal="left"/>
    </xf>
    <xf numFmtId="0" fontId="24" fillId="0" borderId="0" xfId="0" applyFont="1" applyFill="1" applyBorder="1" applyAlignment="1">
      <alignment horizontal="center"/>
    </xf>
    <xf numFmtId="0" fontId="24" fillId="0" borderId="56" xfId="0" applyFont="1" applyFill="1" applyBorder="1" applyAlignment="1">
      <alignment horizontal="center"/>
    </xf>
    <xf numFmtId="0" fontId="9" fillId="2" borderId="17" xfId="0" applyFont="1" applyFill="1" applyBorder="1" applyAlignment="1">
      <alignment horizontal="center" vertical="center" wrapText="1"/>
    </xf>
    <xf numFmtId="0" fontId="9" fillId="2" borderId="87" xfId="0" applyFont="1" applyFill="1" applyBorder="1" applyAlignment="1">
      <alignment horizontal="center" vertical="center" wrapText="1"/>
    </xf>
    <xf numFmtId="0" fontId="9" fillId="2" borderId="79"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24" fillId="2" borderId="88" xfId="0" applyFont="1" applyFill="1" applyBorder="1" applyAlignment="1">
      <alignment horizontal="center" vertical="center" wrapText="1"/>
    </xf>
    <xf numFmtId="0" fontId="24" fillId="2" borderId="4" xfId="0" applyFont="1" applyFill="1" applyBorder="1" applyAlignment="1">
      <alignment horizontal="center" vertical="center" wrapText="1"/>
    </xf>
    <xf numFmtId="0" fontId="24" fillId="2" borderId="89" xfId="0" applyFont="1" applyFill="1" applyBorder="1" applyAlignment="1">
      <alignment horizontal="center" vertical="center" wrapText="1"/>
    </xf>
    <xf numFmtId="0" fontId="24" fillId="2" borderId="5" xfId="0" applyFont="1" applyFill="1" applyBorder="1" applyAlignment="1">
      <alignment horizontal="center" vertical="center" wrapText="1"/>
    </xf>
    <xf numFmtId="0" fontId="24" fillId="17" borderId="90" xfId="0" applyFont="1" applyFill="1" applyBorder="1" applyAlignment="1">
      <alignment horizontal="center" vertical="center"/>
    </xf>
    <xf numFmtId="0" fontId="24" fillId="17" borderId="7" xfId="0" applyFont="1" applyFill="1" applyBorder="1" applyAlignment="1">
      <alignment horizontal="center" vertical="center"/>
    </xf>
    <xf numFmtId="0" fontId="0" fillId="10" borderId="96" xfId="0" applyFont="1" applyFill="1" applyBorder="1" applyAlignment="1">
      <alignment horizontal="center"/>
    </xf>
    <xf numFmtId="0" fontId="0" fillId="10" borderId="0" xfId="0" applyFont="1" applyFill="1" applyBorder="1" applyAlignment="1">
      <alignment horizontal="center"/>
    </xf>
    <xf numFmtId="187" fontId="0" fillId="0" borderId="97" xfId="1" applyNumberFormat="1" applyFont="1" applyFill="1" applyBorder="1" applyAlignment="1" applyProtection="1">
      <alignment horizontal="center" wrapText="1"/>
    </xf>
    <xf numFmtId="187" fontId="18" fillId="0" borderId="98" xfId="1" applyNumberFormat="1" applyFont="1" applyFill="1" applyBorder="1" applyAlignment="1" applyProtection="1">
      <alignment horizontal="center" wrapText="1"/>
    </xf>
    <xf numFmtId="187" fontId="18" fillId="0" borderId="57" xfId="1" applyNumberFormat="1" applyFont="1" applyFill="1" applyBorder="1" applyAlignment="1" applyProtection="1">
      <alignment horizontal="center" wrapText="1"/>
    </xf>
    <xf numFmtId="0" fontId="9" fillId="2" borderId="99" xfId="0" applyFont="1" applyFill="1" applyBorder="1" applyAlignment="1">
      <alignment horizontal="center" vertical="center" wrapText="1"/>
    </xf>
    <xf numFmtId="0" fontId="9" fillId="2" borderId="100" xfId="0" applyFont="1" applyFill="1" applyBorder="1" applyAlignment="1">
      <alignment horizontal="center" vertical="center" wrapText="1"/>
    </xf>
    <xf numFmtId="0" fontId="9" fillId="2" borderId="95" xfId="0" applyFont="1" applyFill="1" applyBorder="1" applyAlignment="1">
      <alignment horizontal="center" vertical="center" wrapText="1"/>
    </xf>
    <xf numFmtId="0" fontId="9" fillId="2" borderId="91" xfId="0" applyFont="1" applyFill="1" applyBorder="1" applyAlignment="1">
      <alignment horizontal="center" vertical="center" wrapText="1"/>
    </xf>
    <xf numFmtId="0" fontId="9" fillId="2" borderId="92" xfId="0" applyFont="1" applyFill="1" applyBorder="1" applyAlignment="1">
      <alignment horizontal="center" vertical="center" wrapText="1"/>
    </xf>
    <xf numFmtId="0" fontId="9" fillId="7" borderId="91" xfId="0" applyFont="1" applyFill="1" applyBorder="1" applyAlignment="1">
      <alignment horizontal="center"/>
    </xf>
    <xf numFmtId="0" fontId="9" fillId="2" borderId="91" xfId="0" applyFont="1" applyFill="1" applyBorder="1" applyAlignment="1">
      <alignment horizontal="center"/>
    </xf>
    <xf numFmtId="14" fontId="9" fillId="2" borderId="91" xfId="0" applyNumberFormat="1" applyFont="1" applyFill="1" applyBorder="1" applyAlignment="1">
      <alignment horizontal="center" vertical="center" wrapText="1"/>
    </xf>
    <xf numFmtId="14" fontId="9" fillId="2" borderId="92" xfId="0" applyNumberFormat="1" applyFont="1" applyFill="1" applyBorder="1" applyAlignment="1">
      <alignment horizontal="center" vertical="center" wrapText="1"/>
    </xf>
    <xf numFmtId="0" fontId="9" fillId="2" borderId="93" xfId="0" applyFont="1" applyFill="1" applyBorder="1" applyAlignment="1">
      <alignment horizontal="center" vertical="center" wrapText="1"/>
    </xf>
    <xf numFmtId="0" fontId="9" fillId="2" borderId="94" xfId="0" applyFont="1" applyFill="1" applyBorder="1" applyAlignment="1">
      <alignment horizontal="center" vertical="center" wrapText="1"/>
    </xf>
    <xf numFmtId="49" fontId="9" fillId="2" borderId="95" xfId="0" applyNumberFormat="1" applyFont="1" applyFill="1" applyBorder="1" applyAlignment="1">
      <alignment horizontal="center" vertical="center" wrapText="1" shrinkToFit="1"/>
    </xf>
    <xf numFmtId="49" fontId="9" fillId="2" borderId="54" xfId="0" applyNumberFormat="1" applyFont="1" applyFill="1" applyBorder="1" applyAlignment="1">
      <alignment horizontal="center" vertical="center" wrapText="1" shrinkToFit="1"/>
    </xf>
    <xf numFmtId="0" fontId="0" fillId="10" borderId="73" xfId="0" applyFill="1" applyBorder="1" applyAlignment="1">
      <alignment horizontal="center" wrapText="1"/>
    </xf>
    <xf numFmtId="49" fontId="9" fillId="2" borderId="33" xfId="0" applyNumberFormat="1" applyFont="1" applyFill="1" applyBorder="1" applyAlignment="1">
      <alignment horizontal="center" vertical="center" wrapText="1" shrinkToFit="1"/>
    </xf>
    <xf numFmtId="49" fontId="9" fillId="2" borderId="38" xfId="0" applyNumberFormat="1" applyFont="1" applyFill="1" applyBorder="1" applyAlignment="1">
      <alignment horizontal="center" vertical="center" wrapText="1" shrinkToFit="1"/>
    </xf>
    <xf numFmtId="0" fontId="9" fillId="2" borderId="34" xfId="0" applyFont="1" applyFill="1" applyBorder="1" applyAlignment="1">
      <alignment horizontal="center" vertical="center" wrapText="1"/>
    </xf>
    <xf numFmtId="0" fontId="9" fillId="2" borderId="39" xfId="0" applyFont="1" applyFill="1" applyBorder="1" applyAlignment="1">
      <alignment horizontal="center" vertical="center" wrapText="1"/>
    </xf>
    <xf numFmtId="0" fontId="9" fillId="2" borderId="33" xfId="0" applyFont="1" applyFill="1" applyBorder="1" applyAlignment="1">
      <alignment horizontal="center" vertical="center" wrapText="1"/>
    </xf>
    <xf numFmtId="0" fontId="9" fillId="2" borderId="38" xfId="0" applyFont="1" applyFill="1" applyBorder="1" applyAlignment="1">
      <alignment horizontal="center" vertical="center" wrapText="1"/>
    </xf>
    <xf numFmtId="14" fontId="9" fillId="2" borderId="33" xfId="0" applyNumberFormat="1" applyFont="1" applyFill="1" applyBorder="1" applyAlignment="1">
      <alignment horizontal="center" vertical="center" wrapText="1"/>
    </xf>
    <xf numFmtId="14" fontId="9" fillId="2" borderId="38" xfId="0" applyNumberFormat="1" applyFont="1" applyFill="1" applyBorder="1" applyAlignment="1">
      <alignment horizontal="center" vertical="center" wrapText="1"/>
    </xf>
    <xf numFmtId="0" fontId="9" fillId="2" borderId="33" xfId="0" applyFont="1" applyFill="1" applyBorder="1" applyAlignment="1">
      <alignment horizontal="center"/>
    </xf>
    <xf numFmtId="0" fontId="0" fillId="10" borderId="0" xfId="0" applyFill="1" applyBorder="1" applyAlignment="1">
      <alignment horizontal="center" wrapText="1"/>
    </xf>
    <xf numFmtId="0" fontId="9" fillId="2" borderId="32" xfId="0" applyFont="1" applyFill="1" applyBorder="1" applyAlignment="1">
      <alignment horizontal="center" vertical="center" wrapText="1"/>
    </xf>
    <xf numFmtId="0" fontId="9" fillId="2" borderId="37" xfId="0" applyFont="1" applyFill="1" applyBorder="1" applyAlignment="1">
      <alignment horizontal="center" vertical="center" wrapText="1"/>
    </xf>
    <xf numFmtId="0" fontId="9" fillId="7" borderId="33" xfId="0" applyFont="1" applyFill="1" applyBorder="1" applyAlignment="1">
      <alignment horizontal="center"/>
    </xf>
    <xf numFmtId="192" fontId="0" fillId="0" borderId="46" xfId="0" applyNumberFormat="1" applyBorder="1" applyAlignment="1">
      <alignment horizontal="center"/>
    </xf>
    <xf numFmtId="192" fontId="0" fillId="0" borderId="98" xfId="0" applyNumberFormat="1" applyBorder="1" applyAlignment="1">
      <alignment horizontal="center"/>
    </xf>
    <xf numFmtId="192" fontId="0" fillId="0" borderId="48" xfId="0" applyNumberFormat="1" applyBorder="1" applyAlignment="1">
      <alignment horizontal="center"/>
    </xf>
    <xf numFmtId="0" fontId="9" fillId="2" borderId="33" xfId="0" applyFont="1" applyFill="1" applyBorder="1" applyAlignment="1">
      <alignment horizontal="center" vertical="center"/>
    </xf>
    <xf numFmtId="0" fontId="0" fillId="10" borderId="73" xfId="0" applyFill="1" applyBorder="1" applyAlignment="1">
      <alignment horizontal="center" vertical="center" wrapText="1"/>
    </xf>
    <xf numFmtId="0" fontId="9" fillId="7" borderId="33" xfId="0" applyFont="1" applyFill="1" applyBorder="1" applyAlignment="1">
      <alignment horizontal="center" vertical="center"/>
    </xf>
    <xf numFmtId="0" fontId="0" fillId="10" borderId="0" xfId="0" applyFill="1" applyBorder="1" applyAlignment="1">
      <alignment horizontal="center" vertical="center" wrapText="1"/>
    </xf>
    <xf numFmtId="0" fontId="57" fillId="2" borderId="33" xfId="0" applyFont="1" applyFill="1" applyBorder="1" applyAlignment="1">
      <alignment horizontal="center" vertical="center" wrapText="1"/>
    </xf>
    <xf numFmtId="0" fontId="57" fillId="2" borderId="38" xfId="0" applyFont="1" applyFill="1" applyBorder="1" applyAlignment="1">
      <alignment horizontal="center" vertical="center" wrapText="1"/>
    </xf>
    <xf numFmtId="49" fontId="57" fillId="2" borderId="33" xfId="0" applyNumberFormat="1" applyFont="1" applyFill="1" applyBorder="1" applyAlignment="1">
      <alignment horizontal="center" vertical="center" wrapText="1" shrinkToFit="1"/>
    </xf>
    <xf numFmtId="49" fontId="57" fillId="2" borderId="38" xfId="0" applyNumberFormat="1" applyFont="1" applyFill="1" applyBorder="1" applyAlignment="1">
      <alignment horizontal="center" vertical="center" wrapText="1" shrinkToFit="1"/>
    </xf>
    <xf numFmtId="0" fontId="57" fillId="2" borderId="34" xfId="0" applyFont="1" applyFill="1" applyBorder="1" applyAlignment="1">
      <alignment horizontal="center" vertical="center" wrapText="1"/>
    </xf>
    <xf numFmtId="0" fontId="57" fillId="2" borderId="39" xfId="0" applyFont="1" applyFill="1" applyBorder="1" applyAlignment="1">
      <alignment horizontal="center" vertical="center" wrapText="1"/>
    </xf>
    <xf numFmtId="0" fontId="57" fillId="2" borderId="32" xfId="0" applyFont="1" applyFill="1" applyBorder="1" applyAlignment="1">
      <alignment horizontal="center" vertical="center" wrapText="1"/>
    </xf>
    <xf numFmtId="0" fontId="57" fillId="2" borderId="37" xfId="0" applyFont="1" applyFill="1" applyBorder="1" applyAlignment="1">
      <alignment horizontal="center" vertical="center" wrapText="1"/>
    </xf>
    <xf numFmtId="14" fontId="57" fillId="2" borderId="33" xfId="0" applyNumberFormat="1" applyFont="1" applyFill="1" applyBorder="1" applyAlignment="1">
      <alignment horizontal="center" vertical="center" wrapText="1"/>
    </xf>
    <xf numFmtId="14" fontId="57" fillId="2" borderId="38" xfId="0" applyNumberFormat="1" applyFont="1" applyFill="1" applyBorder="1" applyAlignment="1">
      <alignment horizontal="center" vertical="center" wrapText="1"/>
    </xf>
    <xf numFmtId="0" fontId="61" fillId="0" borderId="0" xfId="0" applyFont="1"/>
    <xf numFmtId="0" fontId="37" fillId="0" borderId="0" xfId="0" applyFont="1"/>
    <xf numFmtId="0" fontId="34" fillId="0" borderId="0" xfId="0" applyFont="1"/>
  </cellXfs>
  <cellStyles count="5">
    <cellStyle name="Moeda" xfId="1" builtinId="4"/>
    <cellStyle name="Moeda 2" xfId="2"/>
    <cellStyle name="Normal" xfId="0" builtinId="0"/>
    <cellStyle name="Normal 2" xfId="3"/>
    <cellStyle name="Vírgula" xfId="4" builtinId="3"/>
  </cellStyles>
  <dxfs count="104">
    <dxf>
      <fill>
        <patternFill>
          <fgColor indexed="29"/>
          <bgColor indexed="29"/>
        </patternFill>
      </fill>
    </dxf>
    <dxf>
      <fill>
        <patternFill>
          <fgColor indexed="29"/>
          <bgColor indexed="29"/>
        </patternFill>
      </fill>
    </dxf>
    <dxf>
      <fill>
        <patternFill>
          <fgColor indexed="29"/>
          <bgColor indexed="29"/>
        </patternFill>
      </fill>
    </dxf>
    <dxf>
      <fill>
        <patternFill>
          <fgColor indexed="29"/>
          <bgColor indexed="29"/>
        </patternFill>
      </fill>
    </dxf>
    <dxf>
      <fill>
        <patternFill>
          <fgColor indexed="29"/>
          <bgColor indexed="29"/>
        </patternFill>
      </fill>
    </dxf>
    <dxf>
      <fill>
        <patternFill>
          <fgColor indexed="29"/>
          <bgColor indexed="29"/>
        </patternFill>
      </fill>
    </dxf>
    <dxf>
      <fill>
        <patternFill>
          <fgColor indexed="29"/>
          <bgColor indexed="29"/>
        </patternFill>
      </fill>
    </dxf>
    <dxf>
      <fill>
        <patternFill>
          <fgColor indexed="29"/>
          <bgColor indexed="29"/>
        </patternFill>
      </fill>
    </dxf>
    <dxf>
      <fill>
        <patternFill>
          <fgColor indexed="29"/>
          <bgColor indexed="29"/>
        </patternFill>
      </fill>
    </dxf>
    <dxf>
      <fill>
        <patternFill>
          <fgColor indexed="29"/>
          <bgColor indexed="29"/>
        </patternFill>
      </fill>
    </dxf>
    <dxf>
      <fill>
        <patternFill>
          <fgColor indexed="29"/>
          <bgColor indexed="29"/>
        </patternFill>
      </fill>
    </dxf>
    <dxf>
      <fill>
        <patternFill>
          <fgColor indexed="29"/>
          <bgColor indexed="29"/>
        </patternFill>
      </fill>
    </dxf>
    <dxf>
      <fill>
        <patternFill>
          <fgColor indexed="29"/>
          <bgColor indexed="29"/>
        </patternFill>
      </fill>
    </dxf>
    <dxf>
      <fill>
        <patternFill>
          <fgColor indexed="29"/>
          <bgColor indexed="29"/>
        </patternFill>
      </fill>
    </dxf>
    <dxf>
      <fill>
        <patternFill>
          <fgColor indexed="29"/>
          <bgColor indexed="29"/>
        </patternFill>
      </fill>
    </dxf>
    <dxf>
      <fill>
        <patternFill>
          <fgColor indexed="29"/>
          <bgColor indexed="29"/>
        </patternFill>
      </fill>
    </dxf>
    <dxf>
      <fill>
        <patternFill>
          <fgColor indexed="29"/>
          <bgColor indexed="29"/>
        </patternFill>
      </fill>
    </dxf>
    <dxf>
      <fill>
        <patternFill>
          <fgColor indexed="29"/>
          <bgColor indexed="29"/>
        </patternFill>
      </fill>
    </dxf>
    <dxf>
      <fill>
        <patternFill>
          <fgColor indexed="29"/>
          <bgColor indexed="29"/>
        </patternFill>
      </fill>
    </dxf>
    <dxf>
      <fill>
        <patternFill>
          <fgColor indexed="29"/>
          <bgColor indexed="29"/>
        </patternFill>
      </fill>
    </dxf>
    <dxf>
      <fill>
        <patternFill>
          <fgColor indexed="29"/>
          <bgColor indexed="29"/>
        </patternFill>
      </fill>
    </dxf>
    <dxf>
      <fill>
        <patternFill>
          <fgColor indexed="29"/>
          <bgColor indexed="29"/>
        </patternFill>
      </fill>
    </dxf>
    <dxf>
      <fill>
        <patternFill>
          <fgColor indexed="29"/>
          <bgColor indexed="29"/>
        </patternFill>
      </fill>
    </dxf>
    <dxf>
      <fill>
        <patternFill>
          <fgColor indexed="29"/>
          <bgColor indexed="29"/>
        </patternFill>
      </fill>
    </dxf>
    <dxf>
      <fill>
        <patternFill>
          <fgColor indexed="29"/>
          <bgColor indexed="29"/>
        </patternFill>
      </fill>
    </dxf>
    <dxf>
      <fill>
        <patternFill>
          <fgColor indexed="29"/>
          <bgColor indexed="29"/>
        </patternFill>
      </fill>
    </dxf>
    <dxf>
      <fill>
        <patternFill>
          <fgColor indexed="29"/>
          <bgColor indexed="29"/>
        </patternFill>
      </fill>
    </dxf>
    <dxf>
      <fill>
        <patternFill>
          <fgColor indexed="29"/>
          <bgColor indexed="29"/>
        </patternFill>
      </fill>
    </dxf>
    <dxf>
      <fill>
        <patternFill>
          <fgColor indexed="29"/>
          <bgColor indexed="29"/>
        </patternFill>
      </fill>
    </dxf>
    <dxf>
      <fill>
        <patternFill>
          <fgColor indexed="29"/>
          <bgColor indexed="29"/>
        </patternFill>
      </fill>
    </dxf>
    <dxf>
      <fill>
        <patternFill>
          <fgColor indexed="29"/>
          <bgColor indexed="29"/>
        </patternFill>
      </fill>
    </dxf>
    <dxf>
      <fill>
        <patternFill>
          <fgColor indexed="29"/>
          <bgColor indexed="29"/>
        </patternFill>
      </fill>
    </dxf>
    <dxf>
      <fill>
        <patternFill>
          <fgColor indexed="29"/>
          <bgColor indexed="29"/>
        </patternFill>
      </fill>
    </dxf>
    <dxf>
      <fill>
        <patternFill>
          <fgColor indexed="29"/>
          <bgColor indexed="29"/>
        </patternFill>
      </fill>
    </dxf>
    <dxf>
      <fill>
        <patternFill>
          <fgColor indexed="29"/>
          <bgColor indexed="29"/>
        </patternFill>
      </fill>
    </dxf>
    <dxf>
      <fill>
        <patternFill>
          <fgColor indexed="29"/>
          <bgColor indexed="29"/>
        </patternFill>
      </fill>
    </dxf>
    <dxf>
      <fill>
        <patternFill>
          <fgColor indexed="29"/>
          <bgColor indexed="29"/>
        </patternFill>
      </fill>
    </dxf>
    <dxf>
      <fill>
        <patternFill>
          <fgColor indexed="29"/>
          <bgColor indexed="29"/>
        </patternFill>
      </fill>
    </dxf>
    <dxf>
      <fill>
        <patternFill>
          <fgColor indexed="29"/>
          <bgColor indexed="29"/>
        </patternFill>
      </fill>
    </dxf>
    <dxf>
      <fill>
        <patternFill>
          <fgColor indexed="29"/>
          <bgColor indexed="29"/>
        </patternFill>
      </fill>
    </dxf>
    <dxf>
      <fill>
        <patternFill>
          <fgColor indexed="29"/>
          <bgColor indexed="29"/>
        </patternFill>
      </fill>
    </dxf>
    <dxf>
      <fill>
        <patternFill>
          <fgColor indexed="29"/>
          <bgColor indexed="29"/>
        </patternFill>
      </fill>
    </dxf>
    <dxf>
      <fill>
        <patternFill>
          <fgColor indexed="29"/>
          <bgColor indexed="29"/>
        </patternFill>
      </fill>
    </dxf>
    <dxf>
      <fill>
        <patternFill>
          <fgColor indexed="29"/>
          <bgColor indexed="29"/>
        </patternFill>
      </fill>
    </dxf>
    <dxf>
      <fill>
        <patternFill>
          <fgColor indexed="29"/>
          <bgColor indexed="29"/>
        </patternFill>
      </fill>
    </dxf>
    <dxf>
      <fill>
        <patternFill>
          <fgColor indexed="29"/>
          <bgColor indexed="29"/>
        </patternFill>
      </fill>
    </dxf>
    <dxf>
      <fill>
        <patternFill>
          <fgColor indexed="29"/>
          <bgColor indexed="29"/>
        </patternFill>
      </fill>
    </dxf>
    <dxf>
      <fill>
        <patternFill>
          <fgColor indexed="29"/>
          <bgColor indexed="29"/>
        </patternFill>
      </fill>
    </dxf>
    <dxf>
      <fill>
        <patternFill>
          <fgColor indexed="29"/>
          <bgColor indexed="29"/>
        </patternFill>
      </fill>
    </dxf>
    <dxf>
      <fill>
        <patternFill>
          <fgColor indexed="29"/>
          <bgColor indexed="29"/>
        </patternFill>
      </fill>
    </dxf>
    <dxf>
      <fill>
        <patternFill>
          <fgColor indexed="29"/>
          <bgColor indexed="29"/>
        </patternFill>
      </fill>
    </dxf>
    <dxf>
      <fill>
        <patternFill>
          <fgColor indexed="29"/>
          <bgColor indexed="29"/>
        </patternFill>
      </fill>
    </dxf>
    <dxf>
      <fill>
        <patternFill>
          <fgColor indexed="29"/>
          <bgColor indexed="29"/>
        </patternFill>
      </fill>
    </dxf>
    <dxf>
      <fill>
        <patternFill>
          <fgColor indexed="29"/>
          <bgColor indexed="29"/>
        </patternFill>
      </fill>
    </dxf>
    <dxf>
      <fill>
        <patternFill>
          <fgColor indexed="29"/>
          <bgColor indexed="29"/>
        </patternFill>
      </fill>
    </dxf>
    <dxf>
      <fill>
        <patternFill>
          <fgColor indexed="29"/>
          <bgColor indexed="29"/>
        </patternFill>
      </fill>
    </dxf>
    <dxf>
      <fill>
        <patternFill>
          <fgColor indexed="29"/>
          <bgColor indexed="29"/>
        </patternFill>
      </fill>
    </dxf>
    <dxf>
      <fill>
        <patternFill>
          <fgColor indexed="29"/>
          <bgColor indexed="29"/>
        </patternFill>
      </fill>
    </dxf>
    <dxf>
      <fill>
        <patternFill>
          <fgColor indexed="29"/>
          <bgColor indexed="29"/>
        </patternFill>
      </fill>
    </dxf>
    <dxf>
      <fill>
        <patternFill>
          <fgColor indexed="29"/>
          <bgColor indexed="29"/>
        </patternFill>
      </fill>
    </dxf>
    <dxf>
      <fill>
        <patternFill>
          <fgColor indexed="29"/>
          <bgColor indexed="29"/>
        </patternFill>
      </fill>
    </dxf>
    <dxf>
      <fill>
        <patternFill>
          <fgColor indexed="29"/>
          <bgColor indexed="29"/>
        </patternFill>
      </fill>
    </dxf>
    <dxf>
      <fill>
        <patternFill>
          <fgColor indexed="29"/>
          <bgColor indexed="29"/>
        </patternFill>
      </fill>
    </dxf>
    <dxf>
      <fill>
        <patternFill>
          <fgColor indexed="29"/>
          <bgColor indexed="29"/>
        </patternFill>
      </fill>
    </dxf>
    <dxf>
      <fill>
        <patternFill>
          <fgColor indexed="29"/>
          <bgColor indexed="29"/>
        </patternFill>
      </fill>
    </dxf>
    <dxf>
      <fill>
        <patternFill>
          <fgColor indexed="29"/>
          <bgColor indexed="29"/>
        </patternFill>
      </fill>
    </dxf>
    <dxf>
      <fill>
        <patternFill>
          <fgColor indexed="29"/>
          <bgColor indexed="29"/>
        </patternFill>
      </fill>
    </dxf>
    <dxf>
      <fill>
        <patternFill>
          <fgColor indexed="29"/>
          <bgColor indexed="29"/>
        </patternFill>
      </fill>
    </dxf>
    <dxf>
      <fill>
        <patternFill>
          <fgColor indexed="29"/>
          <bgColor indexed="29"/>
        </patternFill>
      </fill>
    </dxf>
    <dxf>
      <fill>
        <patternFill>
          <fgColor indexed="29"/>
          <bgColor indexed="29"/>
        </patternFill>
      </fill>
    </dxf>
    <dxf>
      <fill>
        <patternFill>
          <fgColor indexed="29"/>
          <bgColor indexed="29"/>
        </patternFill>
      </fill>
    </dxf>
    <dxf>
      <fill>
        <patternFill>
          <fgColor indexed="29"/>
          <bgColor indexed="29"/>
        </patternFill>
      </fill>
    </dxf>
    <dxf>
      <fill>
        <patternFill>
          <fgColor indexed="29"/>
          <bgColor indexed="29"/>
        </patternFill>
      </fill>
    </dxf>
    <dxf>
      <fill>
        <patternFill>
          <fgColor indexed="29"/>
          <bgColor indexed="29"/>
        </patternFill>
      </fill>
    </dxf>
    <dxf>
      <fill>
        <patternFill>
          <fgColor indexed="29"/>
          <bgColor indexed="29"/>
        </patternFill>
      </fill>
    </dxf>
    <dxf>
      <fill>
        <patternFill>
          <fgColor indexed="29"/>
          <bgColor indexed="29"/>
        </patternFill>
      </fill>
    </dxf>
    <dxf>
      <fill>
        <patternFill>
          <fgColor indexed="29"/>
          <bgColor indexed="29"/>
        </patternFill>
      </fill>
    </dxf>
    <dxf>
      <fill>
        <patternFill>
          <fgColor indexed="29"/>
          <bgColor indexed="29"/>
        </patternFill>
      </fill>
    </dxf>
    <dxf>
      <fill>
        <patternFill>
          <fgColor indexed="29"/>
          <bgColor indexed="29"/>
        </patternFill>
      </fill>
    </dxf>
    <dxf>
      <fill>
        <patternFill>
          <fgColor indexed="29"/>
          <bgColor indexed="29"/>
        </patternFill>
      </fill>
    </dxf>
    <dxf>
      <fill>
        <patternFill>
          <fgColor indexed="29"/>
          <bgColor indexed="29"/>
        </patternFill>
      </fill>
    </dxf>
    <dxf>
      <fill>
        <patternFill>
          <fgColor indexed="29"/>
          <bgColor indexed="29"/>
        </patternFill>
      </fill>
    </dxf>
    <dxf>
      <fill>
        <patternFill>
          <fgColor indexed="29"/>
          <bgColor indexed="29"/>
        </patternFill>
      </fill>
    </dxf>
    <dxf>
      <fill>
        <patternFill>
          <fgColor indexed="29"/>
          <bgColor indexed="29"/>
        </patternFill>
      </fill>
    </dxf>
    <dxf>
      <fill>
        <patternFill>
          <fgColor indexed="29"/>
          <bgColor indexed="29"/>
        </patternFill>
      </fill>
    </dxf>
    <dxf>
      <fill>
        <patternFill>
          <fgColor indexed="29"/>
          <bgColor indexed="29"/>
        </patternFill>
      </fill>
    </dxf>
    <dxf>
      <fill>
        <patternFill>
          <fgColor indexed="29"/>
          <bgColor indexed="29"/>
        </patternFill>
      </fill>
    </dxf>
    <dxf>
      <fill>
        <patternFill>
          <fgColor indexed="29"/>
          <bgColor indexed="29"/>
        </patternFill>
      </fill>
    </dxf>
    <dxf>
      <fill>
        <patternFill>
          <fgColor indexed="29"/>
          <bgColor indexed="29"/>
        </patternFill>
      </fill>
    </dxf>
    <dxf>
      <fill>
        <patternFill>
          <fgColor indexed="29"/>
          <bgColor indexed="29"/>
        </patternFill>
      </fill>
    </dxf>
    <dxf>
      <fill>
        <patternFill>
          <fgColor indexed="29"/>
          <bgColor indexed="29"/>
        </patternFill>
      </fill>
    </dxf>
    <dxf>
      <fill>
        <patternFill>
          <fgColor indexed="29"/>
          <bgColor indexed="29"/>
        </patternFill>
      </fill>
    </dxf>
    <dxf>
      <fill>
        <patternFill patternType="solid">
          <fgColor indexed="26"/>
          <bgColor indexed="43"/>
        </patternFill>
      </fill>
    </dxf>
    <dxf>
      <fill>
        <patternFill patternType="solid">
          <fgColor indexed="26"/>
          <bgColor indexed="43"/>
        </patternFill>
      </fill>
    </dxf>
    <dxf>
      <fill>
        <patternFill patternType="solid">
          <fgColor indexed="26"/>
          <bgColor indexed="43"/>
        </patternFill>
      </fill>
    </dxf>
    <dxf>
      <fill>
        <patternFill patternType="solid">
          <fgColor indexed="26"/>
          <bgColor indexed="43"/>
        </patternFill>
      </fill>
    </dxf>
    <dxf>
      <fill>
        <patternFill patternType="solid">
          <fgColor indexed="26"/>
          <bgColor indexed="43"/>
        </patternFill>
      </fill>
    </dxf>
    <dxf>
      <fill>
        <patternFill patternType="solid">
          <fgColor indexed="26"/>
          <bgColor indexed="43"/>
        </patternFill>
      </fill>
    </dxf>
    <dxf>
      <fill>
        <patternFill patternType="solid">
          <fgColor indexed="26"/>
          <bgColor indexed="43"/>
        </patternFill>
      </fill>
    </dxf>
    <dxf>
      <fill>
        <patternFill patternType="solid">
          <fgColor indexed="26"/>
          <bgColor indexed="43"/>
        </patternFill>
      </fill>
    </dxf>
    <dxf>
      <fill>
        <patternFill>
          <fgColor indexed="29"/>
          <bgColor indexed="29"/>
        </patternFill>
      </fill>
    </dxf>
    <dxf>
      <fill>
        <patternFill>
          <fgColor indexed="29"/>
          <bgColor indexed="29"/>
        </patternFill>
      </fill>
    </dxf>
    <dxf>
      <fill>
        <patternFill patternType="solid">
          <fgColor indexed="26"/>
          <bgColor indexed="43"/>
        </patternFill>
      </fill>
    </dxf>
    <dxf>
      <fill>
        <patternFill patternType="solid">
          <fgColor indexed="26"/>
          <bgColor indexed="4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1009650</xdr:colOff>
      <xdr:row>0</xdr:row>
      <xdr:rowOff>0</xdr:rowOff>
    </xdr:from>
    <xdr:to>
      <xdr:col>5</xdr:col>
      <xdr:colOff>800100</xdr:colOff>
      <xdr:row>6</xdr:row>
      <xdr:rowOff>114300</xdr:rowOff>
    </xdr:to>
    <xdr:pic>
      <xdr:nvPicPr>
        <xdr:cNvPr id="315427" name="GOIAS FOMENTO - FLASH">
          <a:extLst>
            <a:ext uri="{FF2B5EF4-FFF2-40B4-BE49-F238E27FC236}">
              <a16:creationId xmlns:a16="http://schemas.microsoft.com/office/drawing/2014/main" id="{03891F81-056A-4323-8BC5-CF4FAA9879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10350" y="0"/>
          <a:ext cx="38100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190500</xdr:colOff>
      <xdr:row>0</xdr:row>
      <xdr:rowOff>114300</xdr:rowOff>
    </xdr:from>
    <xdr:to>
      <xdr:col>4</xdr:col>
      <xdr:colOff>2181225</xdr:colOff>
      <xdr:row>4</xdr:row>
      <xdr:rowOff>133350</xdr:rowOff>
    </xdr:to>
    <xdr:pic>
      <xdr:nvPicPr>
        <xdr:cNvPr id="324643" name="GOIAS FOMENTO - FLASH">
          <a:extLst>
            <a:ext uri="{FF2B5EF4-FFF2-40B4-BE49-F238E27FC236}">
              <a16:creationId xmlns:a16="http://schemas.microsoft.com/office/drawing/2014/main" id="{AF9B29E7-FE98-4AA7-B6C3-63E0AA94EA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10075" y="114300"/>
          <a:ext cx="19907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4</xdr:col>
      <xdr:colOff>1285875</xdr:colOff>
      <xdr:row>0</xdr:row>
      <xdr:rowOff>152400</xdr:rowOff>
    </xdr:from>
    <xdr:to>
      <xdr:col>4</xdr:col>
      <xdr:colOff>3228975</xdr:colOff>
      <xdr:row>6</xdr:row>
      <xdr:rowOff>190500</xdr:rowOff>
    </xdr:to>
    <xdr:pic>
      <xdr:nvPicPr>
        <xdr:cNvPr id="325667" name="Imagem 1">
          <a:extLst>
            <a:ext uri="{FF2B5EF4-FFF2-40B4-BE49-F238E27FC236}">
              <a16:creationId xmlns:a16="http://schemas.microsoft.com/office/drawing/2014/main" id="{B7430D8A-CC69-4E99-B7DE-6303B165DB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24325" y="152400"/>
          <a:ext cx="1943100" cy="10382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4</xdr:col>
      <xdr:colOff>1552575</xdr:colOff>
      <xdr:row>0</xdr:row>
      <xdr:rowOff>180975</xdr:rowOff>
    </xdr:from>
    <xdr:to>
      <xdr:col>4</xdr:col>
      <xdr:colOff>3838575</xdr:colOff>
      <xdr:row>5</xdr:row>
      <xdr:rowOff>104775</xdr:rowOff>
    </xdr:to>
    <xdr:pic>
      <xdr:nvPicPr>
        <xdr:cNvPr id="326691" name="GOIAS FOMENTO - FLASH">
          <a:extLst>
            <a:ext uri="{FF2B5EF4-FFF2-40B4-BE49-F238E27FC236}">
              <a16:creationId xmlns:a16="http://schemas.microsoft.com/office/drawing/2014/main" id="{8D0BE311-3F64-4DCA-9CD4-09DEA4EABB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43800" y="180975"/>
          <a:ext cx="2286000"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1285875</xdr:colOff>
      <xdr:row>0</xdr:row>
      <xdr:rowOff>152400</xdr:rowOff>
    </xdr:from>
    <xdr:to>
      <xdr:col>1</xdr:col>
      <xdr:colOff>3228975</xdr:colOff>
      <xdr:row>6</xdr:row>
      <xdr:rowOff>66675</xdr:rowOff>
    </xdr:to>
    <xdr:pic>
      <xdr:nvPicPr>
        <xdr:cNvPr id="327715" name="Imagem 2">
          <a:extLst>
            <a:ext uri="{FF2B5EF4-FFF2-40B4-BE49-F238E27FC236}">
              <a16:creationId xmlns:a16="http://schemas.microsoft.com/office/drawing/2014/main" id="{D73FE902-4A85-46BD-92A0-6E142706AD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14975" y="152400"/>
          <a:ext cx="1943100" cy="8858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1009650</xdr:colOff>
      <xdr:row>0</xdr:row>
      <xdr:rowOff>0</xdr:rowOff>
    </xdr:from>
    <xdr:to>
      <xdr:col>6</xdr:col>
      <xdr:colOff>800100</xdr:colOff>
      <xdr:row>6</xdr:row>
      <xdr:rowOff>114300</xdr:rowOff>
    </xdr:to>
    <xdr:pic>
      <xdr:nvPicPr>
        <xdr:cNvPr id="316451" name="GOIAS FOMENTO - FLASH">
          <a:extLst>
            <a:ext uri="{FF2B5EF4-FFF2-40B4-BE49-F238E27FC236}">
              <a16:creationId xmlns:a16="http://schemas.microsoft.com/office/drawing/2014/main" id="{48A704BB-A572-4F07-BA16-6FC6307A34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29425" y="0"/>
          <a:ext cx="395287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238125</xdr:colOff>
      <xdr:row>0</xdr:row>
      <xdr:rowOff>295275</xdr:rowOff>
    </xdr:to>
    <xdr:pic>
      <xdr:nvPicPr>
        <xdr:cNvPr id="317475" name="GOIAS FOMENTO - FLASH">
          <a:extLst>
            <a:ext uri="{FF2B5EF4-FFF2-40B4-BE49-F238E27FC236}">
              <a16:creationId xmlns:a16="http://schemas.microsoft.com/office/drawing/2014/main" id="{04419436-F5AF-4839-9FE3-55BB809791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572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1009650</xdr:colOff>
      <xdr:row>0</xdr:row>
      <xdr:rowOff>0</xdr:rowOff>
    </xdr:from>
    <xdr:to>
      <xdr:col>5</xdr:col>
      <xdr:colOff>800100</xdr:colOff>
      <xdr:row>6</xdr:row>
      <xdr:rowOff>114300</xdr:rowOff>
    </xdr:to>
    <xdr:pic>
      <xdr:nvPicPr>
        <xdr:cNvPr id="318534" name="GOIAS FOMENTO - FLASH">
          <a:extLst>
            <a:ext uri="{FF2B5EF4-FFF2-40B4-BE49-F238E27FC236}">
              <a16:creationId xmlns:a16="http://schemas.microsoft.com/office/drawing/2014/main" id="{E57E58B2-8CAB-4A0E-A840-D9B6F27079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43650" y="0"/>
          <a:ext cx="455295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4</xdr:col>
      <xdr:colOff>1009650</xdr:colOff>
      <xdr:row>0</xdr:row>
      <xdr:rowOff>0</xdr:rowOff>
    </xdr:from>
    <xdr:to>
      <xdr:col>5</xdr:col>
      <xdr:colOff>800100</xdr:colOff>
      <xdr:row>6</xdr:row>
      <xdr:rowOff>114300</xdr:rowOff>
    </xdr:to>
    <xdr:pic>
      <xdr:nvPicPr>
        <xdr:cNvPr id="318535" name="Figuras 1">
          <a:extLst>
            <a:ext uri="{FF2B5EF4-FFF2-40B4-BE49-F238E27FC236}">
              <a16:creationId xmlns:a16="http://schemas.microsoft.com/office/drawing/2014/main" id="{A5E87DFA-6FF5-49A9-9907-842674AD9C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43650" y="0"/>
          <a:ext cx="455295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38100</xdr:colOff>
      <xdr:row>0</xdr:row>
      <xdr:rowOff>19050</xdr:rowOff>
    </xdr:from>
    <xdr:to>
      <xdr:col>2</xdr:col>
      <xdr:colOff>304800</xdr:colOff>
      <xdr:row>5</xdr:row>
      <xdr:rowOff>47625</xdr:rowOff>
    </xdr:to>
    <xdr:pic>
      <xdr:nvPicPr>
        <xdr:cNvPr id="319523" name="GOIAS FOMENTO - FLASH">
          <a:extLst>
            <a:ext uri="{FF2B5EF4-FFF2-40B4-BE49-F238E27FC236}">
              <a16:creationId xmlns:a16="http://schemas.microsoft.com/office/drawing/2014/main" id="{FECFEA95-43BA-488B-8C8A-8509DAC4DF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9050"/>
          <a:ext cx="60960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4</xdr:col>
      <xdr:colOff>1009650</xdr:colOff>
      <xdr:row>0</xdr:row>
      <xdr:rowOff>0</xdr:rowOff>
    </xdr:from>
    <xdr:to>
      <xdr:col>5</xdr:col>
      <xdr:colOff>800100</xdr:colOff>
      <xdr:row>6</xdr:row>
      <xdr:rowOff>114300</xdr:rowOff>
    </xdr:to>
    <xdr:pic>
      <xdr:nvPicPr>
        <xdr:cNvPr id="320547" name="GOIAS FOMENTO - FLASH">
          <a:extLst>
            <a:ext uri="{FF2B5EF4-FFF2-40B4-BE49-F238E27FC236}">
              <a16:creationId xmlns:a16="http://schemas.microsoft.com/office/drawing/2014/main" id="{220365A9-8430-4C78-AABF-DD96662CE2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43700" y="0"/>
          <a:ext cx="38100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381000</xdr:colOff>
      <xdr:row>0</xdr:row>
      <xdr:rowOff>0</xdr:rowOff>
    </xdr:from>
    <xdr:to>
      <xdr:col>4</xdr:col>
      <xdr:colOff>2867025</xdr:colOff>
      <xdr:row>6</xdr:row>
      <xdr:rowOff>114300</xdr:rowOff>
    </xdr:to>
    <xdr:pic>
      <xdr:nvPicPr>
        <xdr:cNvPr id="321571" name="GOIAS FOMENTO - FLASH">
          <a:extLst>
            <a:ext uri="{FF2B5EF4-FFF2-40B4-BE49-F238E27FC236}">
              <a16:creationId xmlns:a16="http://schemas.microsoft.com/office/drawing/2014/main" id="{E1F9AB31-ABD0-4492-A4D3-4D50265607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14850" y="0"/>
          <a:ext cx="24860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4</xdr:col>
      <xdr:colOff>381000</xdr:colOff>
      <xdr:row>0</xdr:row>
      <xdr:rowOff>0</xdr:rowOff>
    </xdr:from>
    <xdr:to>
      <xdr:col>4</xdr:col>
      <xdr:colOff>2867025</xdr:colOff>
      <xdr:row>6</xdr:row>
      <xdr:rowOff>114300</xdr:rowOff>
    </xdr:to>
    <xdr:pic>
      <xdr:nvPicPr>
        <xdr:cNvPr id="322595" name="GOIAS FOMENTO - FLASH">
          <a:extLst>
            <a:ext uri="{FF2B5EF4-FFF2-40B4-BE49-F238E27FC236}">
              <a16:creationId xmlns:a16="http://schemas.microsoft.com/office/drawing/2014/main" id="{D2862634-8284-422E-BBB5-8610496E49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14850" y="0"/>
          <a:ext cx="24860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4</xdr:col>
      <xdr:colOff>190500</xdr:colOff>
      <xdr:row>0</xdr:row>
      <xdr:rowOff>114300</xdr:rowOff>
    </xdr:from>
    <xdr:to>
      <xdr:col>4</xdr:col>
      <xdr:colOff>2181225</xdr:colOff>
      <xdr:row>4</xdr:row>
      <xdr:rowOff>133350</xdr:rowOff>
    </xdr:to>
    <xdr:pic>
      <xdr:nvPicPr>
        <xdr:cNvPr id="323619" name="GOIAS FOMENTO - FLASH">
          <a:extLst>
            <a:ext uri="{FF2B5EF4-FFF2-40B4-BE49-F238E27FC236}">
              <a16:creationId xmlns:a16="http://schemas.microsoft.com/office/drawing/2014/main" id="{4C0715BE-0D70-4CAB-98BB-ACC36BBE71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29325" y="114300"/>
          <a:ext cx="19907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6.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9"/>
  <sheetViews>
    <sheetView topLeftCell="C5" zoomScale="118" zoomScaleNormal="118" workbookViewId="0">
      <selection activeCell="D14" sqref="D14"/>
    </sheetView>
  </sheetViews>
  <sheetFormatPr defaultRowHeight="14.1" customHeight="1" x14ac:dyDescent="0.2"/>
  <cols>
    <col min="1" max="1" width="9.28515625" style="1" customWidth="1"/>
    <col min="2" max="2" width="10.85546875" style="1" customWidth="1"/>
    <col min="3" max="3" width="14" style="1" customWidth="1"/>
    <col min="4" max="4" width="49.85546875" style="1" customWidth="1"/>
    <col min="5" max="5" width="60.28515625" style="1" customWidth="1"/>
    <col min="6" max="6" width="12.140625" style="2" customWidth="1"/>
    <col min="7" max="7" width="10.5703125" style="1" customWidth="1"/>
    <col min="8" max="8" width="28.5703125" style="2" customWidth="1"/>
    <col min="9" max="15" width="0" style="1" hidden="1" customWidth="1"/>
    <col min="16" max="16" width="16.7109375" style="1" customWidth="1"/>
    <col min="17" max="18" width="0" style="1" hidden="1" customWidth="1"/>
    <col min="19" max="16384" width="9.140625" style="1"/>
  </cols>
  <sheetData>
    <row r="1" spans="1:18" ht="11.1" customHeight="1" x14ac:dyDescent="0.2"/>
    <row r="2" spans="1:18" ht="11.1" customHeight="1" x14ac:dyDescent="0.2"/>
    <row r="3" spans="1:18" ht="11.1" customHeight="1" x14ac:dyDescent="0.2"/>
    <row r="4" spans="1:18" ht="11.1" customHeight="1" x14ac:dyDescent="0.2"/>
    <row r="5" spans="1:18" ht="11.1" customHeight="1" x14ac:dyDescent="0.2"/>
    <row r="6" spans="1:18" ht="15.6" customHeight="1" x14ac:dyDescent="0.2">
      <c r="P6" s="3" t="s">
        <v>0</v>
      </c>
      <c r="Q6" s="3"/>
    </row>
    <row r="7" spans="1:18" ht="12.6" customHeight="1" x14ac:dyDescent="0.2">
      <c r="P7" s="4">
        <v>39172</v>
      </c>
      <c r="Q7" s="4"/>
    </row>
    <row r="8" spans="1:18" ht="16.350000000000001" customHeight="1" x14ac:dyDescent="0.25">
      <c r="A8" s="929" t="s">
        <v>1</v>
      </c>
      <c r="B8" s="929"/>
      <c r="C8" s="929"/>
      <c r="D8" s="929"/>
      <c r="E8" s="929"/>
      <c r="F8" s="929"/>
      <c r="G8" s="929"/>
      <c r="H8" s="929"/>
      <c r="I8" s="929"/>
      <c r="J8" s="929"/>
      <c r="K8" s="929"/>
      <c r="L8" s="929"/>
      <c r="M8" s="929"/>
      <c r="N8" s="929"/>
      <c r="O8" s="929"/>
      <c r="P8" s="929"/>
      <c r="Q8" s="929"/>
      <c r="R8" s="929"/>
    </row>
    <row r="9" spans="1:18" s="6" customFormat="1" ht="13.9" customHeight="1" x14ac:dyDescent="0.2">
      <c r="A9" s="930" t="s">
        <v>2</v>
      </c>
      <c r="B9" s="928" t="s">
        <v>3</v>
      </c>
      <c r="C9" s="928" t="s">
        <v>4</v>
      </c>
      <c r="D9" s="928" t="s">
        <v>5</v>
      </c>
      <c r="E9" s="928" t="s">
        <v>6</v>
      </c>
      <c r="F9" s="928" t="s">
        <v>7</v>
      </c>
      <c r="G9" s="924" t="s">
        <v>8</v>
      </c>
      <c r="H9" s="928" t="s">
        <v>9</v>
      </c>
      <c r="I9" s="928" t="s">
        <v>10</v>
      </c>
      <c r="J9" s="931" t="s">
        <v>11</v>
      </c>
      <c r="K9" s="931"/>
      <c r="L9" s="931"/>
      <c r="M9" s="931"/>
      <c r="N9" s="931"/>
      <c r="O9" s="928" t="s">
        <v>12</v>
      </c>
      <c r="P9" s="925" t="s">
        <v>13</v>
      </c>
      <c r="Q9" s="5" t="s">
        <v>14</v>
      </c>
      <c r="R9" s="926" t="s">
        <v>15</v>
      </c>
    </row>
    <row r="10" spans="1:18" s="6" customFormat="1" ht="13.9" customHeight="1" x14ac:dyDescent="0.2">
      <c r="A10" s="930"/>
      <c r="B10" s="928"/>
      <c r="C10" s="928"/>
      <c r="D10" s="928"/>
      <c r="E10" s="928"/>
      <c r="F10" s="928"/>
      <c r="G10" s="924"/>
      <c r="H10" s="928"/>
      <c r="I10" s="928"/>
      <c r="J10" s="7" t="s">
        <v>16</v>
      </c>
      <c r="K10" s="7" t="s">
        <v>17</v>
      </c>
      <c r="L10" s="7" t="s">
        <v>18</v>
      </c>
      <c r="M10" s="7" t="s">
        <v>19</v>
      </c>
      <c r="N10" s="7" t="s">
        <v>20</v>
      </c>
      <c r="O10" s="928"/>
      <c r="P10" s="925"/>
      <c r="Q10" s="8" t="s">
        <v>21</v>
      </c>
      <c r="R10" s="926"/>
    </row>
    <row r="11" spans="1:18" ht="15.95" customHeight="1" x14ac:dyDescent="0.2">
      <c r="A11" s="9" t="s">
        <v>22</v>
      </c>
      <c r="B11" s="10" t="s">
        <v>23</v>
      </c>
      <c r="C11" s="10" t="s">
        <v>24</v>
      </c>
      <c r="D11" s="11" t="s">
        <v>25</v>
      </c>
      <c r="E11" s="11" t="s">
        <v>26</v>
      </c>
      <c r="F11" s="12" t="s">
        <v>27</v>
      </c>
      <c r="G11" s="13">
        <v>39172</v>
      </c>
      <c r="H11" s="14" t="s">
        <v>28</v>
      </c>
      <c r="I11" s="15"/>
      <c r="J11" s="15"/>
      <c r="K11" s="15"/>
      <c r="L11" s="15"/>
      <c r="M11" s="15"/>
      <c r="N11" s="15"/>
      <c r="O11" s="15"/>
      <c r="P11" s="16">
        <v>37383</v>
      </c>
      <c r="Q11" s="17" t="str">
        <f t="shared" ref="Q11:Q53" ca="1" si="0">IF(AND(C11&lt;&gt;"DISPENSADA",C11&lt;&gt;"DISPENSÁVEL",C11&lt;&gt;"INEXIGÍVEL"),DATE(YEAR(P11)+5,MONTH(P11),DAY(P11))-TODAY(),"------")</f>
        <v>------</v>
      </c>
      <c r="R11" s="18" t="s">
        <v>29</v>
      </c>
    </row>
    <row r="12" spans="1:18" ht="15.95" customHeight="1" x14ac:dyDescent="0.2">
      <c r="A12" s="9" t="s">
        <v>30</v>
      </c>
      <c r="B12" s="10" t="s">
        <v>23</v>
      </c>
      <c r="C12" s="10" t="s">
        <v>24</v>
      </c>
      <c r="D12" s="11" t="s">
        <v>25</v>
      </c>
      <c r="E12" s="11" t="s">
        <v>31</v>
      </c>
      <c r="F12" s="12" t="s">
        <v>32</v>
      </c>
      <c r="G12" s="13">
        <v>39172</v>
      </c>
      <c r="H12" s="14" t="s">
        <v>33</v>
      </c>
      <c r="I12" s="15"/>
      <c r="J12" s="15"/>
      <c r="K12" s="15"/>
      <c r="L12" s="15"/>
      <c r="M12" s="15"/>
      <c r="N12" s="15"/>
      <c r="O12" s="15"/>
      <c r="P12" s="16">
        <v>37346</v>
      </c>
      <c r="Q12" s="17" t="str">
        <f t="shared" ca="1" si="0"/>
        <v>------</v>
      </c>
      <c r="R12" s="18" t="s">
        <v>34</v>
      </c>
    </row>
    <row r="13" spans="1:18" ht="15.95" customHeight="1" x14ac:dyDescent="0.2">
      <c r="A13" s="9" t="s">
        <v>35</v>
      </c>
      <c r="B13" s="19" t="s">
        <v>36</v>
      </c>
      <c r="C13" s="10" t="s">
        <v>37</v>
      </c>
      <c r="D13" s="11" t="s">
        <v>38</v>
      </c>
      <c r="E13" s="11" t="s">
        <v>39</v>
      </c>
      <c r="F13" s="12">
        <v>71329.2</v>
      </c>
      <c r="G13" s="13">
        <v>39178</v>
      </c>
      <c r="H13" s="14" t="s">
        <v>40</v>
      </c>
      <c r="I13" s="15"/>
      <c r="J13" s="15"/>
      <c r="K13" s="15"/>
      <c r="L13" s="15"/>
      <c r="M13" s="15"/>
      <c r="N13" s="15"/>
      <c r="O13" s="15"/>
      <c r="P13" s="16">
        <v>38084</v>
      </c>
      <c r="Q13" s="17">
        <f t="shared" ca="1" si="0"/>
        <v>-4472</v>
      </c>
      <c r="R13" s="18" t="s">
        <v>41</v>
      </c>
    </row>
    <row r="14" spans="1:18" ht="15.95" customHeight="1" x14ac:dyDescent="0.2">
      <c r="A14" s="9" t="s">
        <v>42</v>
      </c>
      <c r="B14" s="20" t="s">
        <v>43</v>
      </c>
      <c r="C14" s="10" t="s">
        <v>37</v>
      </c>
      <c r="D14" s="11" t="s">
        <v>44</v>
      </c>
      <c r="E14" s="11" t="s">
        <v>45</v>
      </c>
      <c r="F14" s="12" t="s">
        <v>46</v>
      </c>
      <c r="G14" s="13">
        <v>39181</v>
      </c>
      <c r="H14" s="14" t="s">
        <v>47</v>
      </c>
      <c r="I14" s="15"/>
      <c r="J14" s="15"/>
      <c r="K14" s="15"/>
      <c r="L14" s="15"/>
      <c r="M14" s="15"/>
      <c r="N14" s="15"/>
      <c r="O14" s="15"/>
      <c r="P14" s="16">
        <v>36991</v>
      </c>
      <c r="Q14" s="17">
        <f t="shared" ca="1" si="0"/>
        <v>-5565</v>
      </c>
      <c r="R14" s="18" t="s">
        <v>48</v>
      </c>
    </row>
    <row r="15" spans="1:18" ht="15.95" customHeight="1" x14ac:dyDescent="0.2">
      <c r="A15" s="9" t="s">
        <v>49</v>
      </c>
      <c r="B15" s="10" t="s">
        <v>23</v>
      </c>
      <c r="C15" s="10" t="s">
        <v>24</v>
      </c>
      <c r="D15" s="11" t="s">
        <v>50</v>
      </c>
      <c r="E15" s="11" t="s">
        <v>51</v>
      </c>
      <c r="F15" s="12" t="s">
        <v>52</v>
      </c>
      <c r="G15" s="13">
        <v>39194</v>
      </c>
      <c r="H15" s="14" t="s">
        <v>53</v>
      </c>
      <c r="I15" s="15"/>
      <c r="J15" s="15"/>
      <c r="K15" s="15"/>
      <c r="L15" s="15"/>
      <c r="M15" s="15"/>
      <c r="N15" s="15"/>
      <c r="O15" s="15"/>
      <c r="P15" s="16">
        <v>37733</v>
      </c>
      <c r="Q15" s="17" t="str">
        <f t="shared" ca="1" si="0"/>
        <v>------</v>
      </c>
      <c r="R15" s="18" t="s">
        <v>54</v>
      </c>
    </row>
    <row r="16" spans="1:18" ht="15.95" customHeight="1" x14ac:dyDescent="0.2">
      <c r="A16" s="21" t="s">
        <v>55</v>
      </c>
      <c r="B16" s="22" t="s">
        <v>23</v>
      </c>
      <c r="C16" s="22" t="s">
        <v>56</v>
      </c>
      <c r="D16" s="15" t="s">
        <v>57</v>
      </c>
      <c r="E16" s="15" t="s">
        <v>58</v>
      </c>
      <c r="F16" s="23">
        <v>4200</v>
      </c>
      <c r="G16" s="24">
        <v>39196</v>
      </c>
      <c r="H16" s="25" t="s">
        <v>59</v>
      </c>
      <c r="I16" s="15"/>
      <c r="J16" s="15"/>
      <c r="K16" s="15"/>
      <c r="L16" s="15"/>
      <c r="M16" s="15"/>
      <c r="N16" s="15"/>
      <c r="O16" s="15"/>
      <c r="P16" s="16">
        <v>38832</v>
      </c>
      <c r="Q16" s="17" t="str">
        <f t="shared" ca="1" si="0"/>
        <v>------</v>
      </c>
      <c r="R16" s="26" t="s">
        <v>48</v>
      </c>
    </row>
    <row r="17" spans="1:18" ht="15.95" customHeight="1" x14ac:dyDescent="0.2">
      <c r="A17" s="9" t="s">
        <v>60</v>
      </c>
      <c r="B17" s="10" t="s">
        <v>23</v>
      </c>
      <c r="C17" s="10" t="s">
        <v>61</v>
      </c>
      <c r="D17" s="11" t="s">
        <v>62</v>
      </c>
      <c r="E17" s="11" t="s">
        <v>63</v>
      </c>
      <c r="F17" s="12">
        <v>8644.56</v>
      </c>
      <c r="G17" s="13">
        <v>39236</v>
      </c>
      <c r="H17" s="14" t="s">
        <v>64</v>
      </c>
      <c r="I17" s="15"/>
      <c r="J17" s="15"/>
      <c r="K17" s="15"/>
      <c r="L17" s="15"/>
      <c r="M17" s="15"/>
      <c r="N17" s="15"/>
      <c r="O17" s="15"/>
      <c r="P17" s="16">
        <v>37410</v>
      </c>
      <c r="Q17" s="17" t="str">
        <f t="shared" ca="1" si="0"/>
        <v>------</v>
      </c>
      <c r="R17" s="18" t="s">
        <v>48</v>
      </c>
    </row>
    <row r="18" spans="1:18" ht="15.95" customHeight="1" x14ac:dyDescent="0.2">
      <c r="A18" s="9" t="s">
        <v>65</v>
      </c>
      <c r="B18" s="20" t="s">
        <v>66</v>
      </c>
      <c r="C18" s="10" t="s">
        <v>67</v>
      </c>
      <c r="D18" s="11" t="s">
        <v>68</v>
      </c>
      <c r="E18" s="11" t="s">
        <v>69</v>
      </c>
      <c r="F18" s="12" t="s">
        <v>70</v>
      </c>
      <c r="G18" s="13">
        <v>39243</v>
      </c>
      <c r="H18" s="27" t="s">
        <v>71</v>
      </c>
      <c r="I18" s="15"/>
      <c r="J18" s="15"/>
      <c r="K18" s="15"/>
      <c r="L18" s="15"/>
      <c r="M18" s="15"/>
      <c r="N18" s="15"/>
      <c r="O18" s="15"/>
      <c r="P18" s="16">
        <v>37417</v>
      </c>
      <c r="Q18" s="17">
        <f t="shared" ca="1" si="0"/>
        <v>-5139</v>
      </c>
      <c r="R18" s="18" t="s">
        <v>48</v>
      </c>
    </row>
    <row r="19" spans="1:18" ht="15.95" customHeight="1" x14ac:dyDescent="0.2">
      <c r="A19" s="9" t="s">
        <v>72</v>
      </c>
      <c r="B19" s="10" t="s">
        <v>23</v>
      </c>
      <c r="C19" s="10" t="s">
        <v>61</v>
      </c>
      <c r="D19" s="11" t="s">
        <v>73</v>
      </c>
      <c r="E19" s="11" t="s">
        <v>74</v>
      </c>
      <c r="F19" s="12" t="s">
        <v>75</v>
      </c>
      <c r="G19" s="13">
        <v>39243</v>
      </c>
      <c r="H19" s="27" t="s">
        <v>76</v>
      </c>
      <c r="I19" s="15"/>
      <c r="J19" s="15"/>
      <c r="K19" s="15"/>
      <c r="L19" s="15"/>
      <c r="M19" s="15"/>
      <c r="N19" s="15"/>
      <c r="O19" s="15"/>
      <c r="P19" s="16">
        <v>37417</v>
      </c>
      <c r="Q19" s="17" t="str">
        <f t="shared" ca="1" si="0"/>
        <v>------</v>
      </c>
      <c r="R19" s="18" t="s">
        <v>34</v>
      </c>
    </row>
    <row r="20" spans="1:18" ht="15.95" customHeight="1" x14ac:dyDescent="0.2">
      <c r="A20" s="9" t="s">
        <v>77</v>
      </c>
      <c r="B20" s="10" t="s">
        <v>23</v>
      </c>
      <c r="C20" s="10" t="s">
        <v>24</v>
      </c>
      <c r="D20" s="11" t="s">
        <v>78</v>
      </c>
      <c r="E20" s="11" t="s">
        <v>79</v>
      </c>
      <c r="F20" s="12" t="s">
        <v>80</v>
      </c>
      <c r="G20" s="13">
        <v>39265</v>
      </c>
      <c r="H20" s="14" t="s">
        <v>81</v>
      </c>
      <c r="I20" s="15"/>
      <c r="J20" s="15"/>
      <c r="K20" s="15"/>
      <c r="L20" s="15"/>
      <c r="M20" s="15"/>
      <c r="N20" s="15"/>
      <c r="O20" s="15"/>
      <c r="P20" s="16">
        <v>38930</v>
      </c>
      <c r="Q20" s="17" t="str">
        <f t="shared" ca="1" si="0"/>
        <v>------</v>
      </c>
      <c r="R20" s="18" t="s">
        <v>34</v>
      </c>
    </row>
    <row r="21" spans="1:18" ht="15.95" customHeight="1" x14ac:dyDescent="0.2">
      <c r="A21" s="21" t="s">
        <v>82</v>
      </c>
      <c r="B21" s="22" t="s">
        <v>23</v>
      </c>
      <c r="C21" s="22" t="s">
        <v>56</v>
      </c>
      <c r="D21" s="15" t="s">
        <v>83</v>
      </c>
      <c r="E21" s="15" t="s">
        <v>84</v>
      </c>
      <c r="F21" s="23" t="s">
        <v>85</v>
      </c>
      <c r="G21" s="24">
        <v>39269</v>
      </c>
      <c r="H21" s="25" t="s">
        <v>86</v>
      </c>
      <c r="I21" s="15"/>
      <c r="J21" s="15"/>
      <c r="K21" s="15"/>
      <c r="L21" s="15"/>
      <c r="M21" s="15"/>
      <c r="N21" s="15"/>
      <c r="O21" s="15"/>
      <c r="P21" s="16">
        <v>38908</v>
      </c>
      <c r="Q21" s="17" t="str">
        <f t="shared" ca="1" si="0"/>
        <v>------</v>
      </c>
      <c r="R21" s="28" t="s">
        <v>48</v>
      </c>
    </row>
    <row r="22" spans="1:18" ht="15.95" customHeight="1" x14ac:dyDescent="0.2">
      <c r="A22" s="9" t="s">
        <v>87</v>
      </c>
      <c r="B22" s="10" t="s">
        <v>23</v>
      </c>
      <c r="C22" s="10" t="s">
        <v>56</v>
      </c>
      <c r="D22" s="11" t="s">
        <v>88</v>
      </c>
      <c r="E22" s="11" t="s">
        <v>89</v>
      </c>
      <c r="F22" s="12">
        <v>13080</v>
      </c>
      <c r="G22" s="13">
        <v>39294</v>
      </c>
      <c r="H22" s="14" t="s">
        <v>90</v>
      </c>
      <c r="I22" s="15"/>
      <c r="J22" s="15"/>
      <c r="K22" s="15"/>
      <c r="L22" s="15"/>
      <c r="M22" s="15"/>
      <c r="N22" s="15"/>
      <c r="O22" s="15"/>
      <c r="P22" s="16">
        <v>38989</v>
      </c>
      <c r="Q22" s="17" t="str">
        <f t="shared" ca="1" si="0"/>
        <v>------</v>
      </c>
      <c r="R22" s="18" t="s">
        <v>48</v>
      </c>
    </row>
    <row r="23" spans="1:18" ht="15.95" customHeight="1" x14ac:dyDescent="0.2">
      <c r="A23" s="9" t="s">
        <v>91</v>
      </c>
      <c r="B23" s="20" t="s">
        <v>92</v>
      </c>
      <c r="C23" s="10" t="s">
        <v>67</v>
      </c>
      <c r="D23" s="11" t="s">
        <v>93</v>
      </c>
      <c r="E23" s="11" t="s">
        <v>94</v>
      </c>
      <c r="F23" s="12">
        <f>699619.68+16091.25</f>
        <v>715710.93</v>
      </c>
      <c r="G23" s="13">
        <v>39304</v>
      </c>
      <c r="H23" s="14" t="s">
        <v>95</v>
      </c>
      <c r="I23" s="15"/>
      <c r="J23" s="15"/>
      <c r="K23" s="15"/>
      <c r="L23" s="15"/>
      <c r="M23" s="15"/>
      <c r="N23" s="15"/>
      <c r="O23" s="15"/>
      <c r="P23" s="16">
        <v>37844</v>
      </c>
      <c r="Q23" s="17">
        <f t="shared" ca="1" si="0"/>
        <v>-4711</v>
      </c>
      <c r="R23" s="18" t="s">
        <v>96</v>
      </c>
    </row>
    <row r="24" spans="1:18" ht="15.95" customHeight="1" x14ac:dyDescent="0.2">
      <c r="A24" s="9" t="s">
        <v>97</v>
      </c>
      <c r="B24" s="10" t="s">
        <v>23</v>
      </c>
      <c r="C24" s="10" t="s">
        <v>61</v>
      </c>
      <c r="D24" s="11" t="s">
        <v>98</v>
      </c>
      <c r="E24" s="11" t="s">
        <v>99</v>
      </c>
      <c r="F24" s="12" t="s">
        <v>100</v>
      </c>
      <c r="G24" s="13">
        <v>39344</v>
      </c>
      <c r="H24" s="14" t="s">
        <v>101</v>
      </c>
      <c r="I24" s="15"/>
      <c r="J24" s="15"/>
      <c r="K24" s="15"/>
      <c r="L24" s="15"/>
      <c r="M24" s="15"/>
      <c r="N24" s="15"/>
      <c r="O24" s="15"/>
      <c r="P24" s="16">
        <v>38249</v>
      </c>
      <c r="Q24" s="17" t="str">
        <f t="shared" ca="1" si="0"/>
        <v>------</v>
      </c>
      <c r="R24" s="18" t="s">
        <v>48</v>
      </c>
    </row>
    <row r="25" spans="1:18" ht="15.95" customHeight="1" x14ac:dyDescent="0.2">
      <c r="A25" s="9" t="s">
        <v>102</v>
      </c>
      <c r="B25" s="10" t="s">
        <v>23</v>
      </c>
      <c r="C25" s="10" t="s">
        <v>56</v>
      </c>
      <c r="D25" s="11" t="s">
        <v>103</v>
      </c>
      <c r="E25" s="11" t="s">
        <v>104</v>
      </c>
      <c r="F25" s="12">
        <f>1546.8+720</f>
        <v>2266.8000000000002</v>
      </c>
      <c r="G25" s="13">
        <v>39350</v>
      </c>
      <c r="H25" s="14" t="s">
        <v>105</v>
      </c>
      <c r="I25" s="15"/>
      <c r="J25" s="15"/>
      <c r="K25" s="15"/>
      <c r="L25" s="15"/>
      <c r="M25" s="15"/>
      <c r="N25" s="15"/>
      <c r="O25" s="15"/>
      <c r="P25" s="16">
        <v>38986</v>
      </c>
      <c r="Q25" s="17" t="str">
        <f t="shared" ca="1" si="0"/>
        <v>------</v>
      </c>
      <c r="R25" s="18" t="s">
        <v>96</v>
      </c>
    </row>
    <row r="26" spans="1:18" ht="15.95" customHeight="1" x14ac:dyDescent="0.2">
      <c r="A26" s="9" t="s">
        <v>106</v>
      </c>
      <c r="B26" s="20" t="s">
        <v>107</v>
      </c>
      <c r="C26" s="10" t="s">
        <v>37</v>
      </c>
      <c r="D26" s="11" t="s">
        <v>108</v>
      </c>
      <c r="E26" s="11" t="s">
        <v>109</v>
      </c>
      <c r="F26" s="12" t="s">
        <v>110</v>
      </c>
      <c r="G26" s="13">
        <v>39356</v>
      </c>
      <c r="H26" s="14" t="s">
        <v>111</v>
      </c>
      <c r="I26" s="15"/>
      <c r="J26" s="15"/>
      <c r="K26" s="15"/>
      <c r="L26" s="15"/>
      <c r="M26" s="15"/>
      <c r="N26" s="15"/>
      <c r="O26" s="15"/>
      <c r="P26" s="16">
        <v>37165</v>
      </c>
      <c r="Q26" s="17">
        <f t="shared" ca="1" si="0"/>
        <v>-5391</v>
      </c>
      <c r="R26" s="18" t="s">
        <v>48</v>
      </c>
    </row>
    <row r="27" spans="1:18" ht="15.95" customHeight="1" x14ac:dyDescent="0.2">
      <c r="A27" s="9" t="s">
        <v>112</v>
      </c>
      <c r="B27" s="10" t="s">
        <v>23</v>
      </c>
      <c r="C27" s="10" t="s">
        <v>56</v>
      </c>
      <c r="D27" s="11" t="s">
        <v>44</v>
      </c>
      <c r="E27" s="11" t="s">
        <v>113</v>
      </c>
      <c r="F27" s="12">
        <f>1330*12</f>
        <v>15960</v>
      </c>
      <c r="G27" s="13">
        <v>39359</v>
      </c>
      <c r="H27" s="14" t="s">
        <v>114</v>
      </c>
      <c r="I27" s="15"/>
      <c r="J27" s="15"/>
      <c r="K27" s="15"/>
      <c r="L27" s="15"/>
      <c r="M27" s="15"/>
      <c r="N27" s="15"/>
      <c r="O27" s="15"/>
      <c r="P27" s="16">
        <v>39026</v>
      </c>
      <c r="Q27" s="17" t="str">
        <f t="shared" ca="1" si="0"/>
        <v>------</v>
      </c>
      <c r="R27" s="18" t="s">
        <v>48</v>
      </c>
    </row>
    <row r="28" spans="1:18" ht="15.95" customHeight="1" x14ac:dyDescent="0.2">
      <c r="A28" s="9" t="s">
        <v>115</v>
      </c>
      <c r="B28" s="10" t="s">
        <v>23</v>
      </c>
      <c r="C28" s="10" t="s">
        <v>56</v>
      </c>
      <c r="D28" s="11" t="s">
        <v>116</v>
      </c>
      <c r="E28" s="11" t="s">
        <v>117</v>
      </c>
      <c r="F28" s="12">
        <v>6340.6</v>
      </c>
      <c r="G28" s="13">
        <v>39379</v>
      </c>
      <c r="H28" s="14" t="s">
        <v>118</v>
      </c>
      <c r="I28" s="15"/>
      <c r="J28" s="15"/>
      <c r="K28" s="15"/>
      <c r="L28" s="15"/>
      <c r="M28" s="15"/>
      <c r="N28" s="15"/>
      <c r="O28" s="15"/>
      <c r="P28" s="16">
        <v>39015</v>
      </c>
      <c r="Q28" s="17" t="str">
        <f t="shared" ca="1" si="0"/>
        <v>------</v>
      </c>
      <c r="R28" s="18" t="s">
        <v>96</v>
      </c>
    </row>
    <row r="29" spans="1:18" ht="15.95" customHeight="1" x14ac:dyDescent="0.2">
      <c r="A29" s="9" t="s">
        <v>119</v>
      </c>
      <c r="B29" s="10" t="s">
        <v>23</v>
      </c>
      <c r="C29" s="10" t="s">
        <v>61</v>
      </c>
      <c r="D29" s="11" t="s">
        <v>120</v>
      </c>
      <c r="E29" s="11" t="s">
        <v>121</v>
      </c>
      <c r="F29" s="12" t="s">
        <v>122</v>
      </c>
      <c r="G29" s="13">
        <v>39381</v>
      </c>
      <c r="H29" s="14" t="s">
        <v>123</v>
      </c>
      <c r="I29" s="15"/>
      <c r="J29" s="15"/>
      <c r="K29" s="15"/>
      <c r="L29" s="15"/>
      <c r="M29" s="15"/>
      <c r="N29" s="15"/>
      <c r="O29" s="15"/>
      <c r="P29" s="16">
        <v>38652</v>
      </c>
      <c r="Q29" s="17" t="str">
        <f t="shared" ca="1" si="0"/>
        <v>------</v>
      </c>
      <c r="R29" s="18" t="s">
        <v>96</v>
      </c>
    </row>
    <row r="30" spans="1:18" ht="15.95" customHeight="1" x14ac:dyDescent="0.2">
      <c r="A30" s="9" t="s">
        <v>124</v>
      </c>
      <c r="B30" s="10" t="s">
        <v>23</v>
      </c>
      <c r="C30" s="10" t="s">
        <v>56</v>
      </c>
      <c r="D30" s="11" t="s">
        <v>125</v>
      </c>
      <c r="E30" s="11" t="s">
        <v>126</v>
      </c>
      <c r="F30" s="12">
        <v>9600</v>
      </c>
      <c r="G30" s="13">
        <v>39386</v>
      </c>
      <c r="H30" s="14" t="s">
        <v>127</v>
      </c>
      <c r="I30" s="15"/>
      <c r="J30" s="15"/>
      <c r="K30" s="15"/>
      <c r="L30" s="15"/>
      <c r="M30" s="15"/>
      <c r="N30" s="15"/>
      <c r="O30" s="15"/>
      <c r="P30" s="16">
        <v>39022</v>
      </c>
      <c r="Q30" s="17" t="str">
        <f t="shared" ca="1" si="0"/>
        <v>------</v>
      </c>
      <c r="R30" s="18" t="s">
        <v>48</v>
      </c>
    </row>
    <row r="31" spans="1:18" ht="15.95" customHeight="1" x14ac:dyDescent="0.2">
      <c r="A31" s="9" t="s">
        <v>128</v>
      </c>
      <c r="B31" s="20" t="s">
        <v>129</v>
      </c>
      <c r="C31" s="10" t="s">
        <v>130</v>
      </c>
      <c r="D31" s="11" t="s">
        <v>131</v>
      </c>
      <c r="E31" s="11" t="s">
        <v>132</v>
      </c>
      <c r="F31" s="12" t="s">
        <v>133</v>
      </c>
      <c r="G31" s="13">
        <v>39386</v>
      </c>
      <c r="H31" s="14" t="s">
        <v>134</v>
      </c>
      <c r="I31" s="15"/>
      <c r="J31" s="15"/>
      <c r="K31" s="15"/>
      <c r="L31" s="15"/>
      <c r="M31" s="15"/>
      <c r="N31" s="15"/>
      <c r="O31" s="15"/>
      <c r="P31" s="16">
        <v>37560</v>
      </c>
      <c r="Q31" s="17">
        <f t="shared" ca="1" si="0"/>
        <v>-4996</v>
      </c>
      <c r="R31" s="18" t="s">
        <v>29</v>
      </c>
    </row>
    <row r="32" spans="1:18" ht="15.95" customHeight="1" x14ac:dyDescent="0.2">
      <c r="A32" s="9" t="s">
        <v>135</v>
      </c>
      <c r="B32" s="20" t="s">
        <v>129</v>
      </c>
      <c r="C32" s="10" t="s">
        <v>130</v>
      </c>
      <c r="D32" s="11" t="s">
        <v>136</v>
      </c>
      <c r="E32" s="11" t="s">
        <v>132</v>
      </c>
      <c r="F32" s="12" t="s">
        <v>133</v>
      </c>
      <c r="G32" s="13">
        <v>39398</v>
      </c>
      <c r="H32" s="14" t="s">
        <v>134</v>
      </c>
      <c r="I32" s="15"/>
      <c r="J32" s="15"/>
      <c r="K32" s="15"/>
      <c r="L32" s="15"/>
      <c r="M32" s="15"/>
      <c r="N32" s="15"/>
      <c r="O32" s="15"/>
      <c r="P32" s="16">
        <v>37572</v>
      </c>
      <c r="Q32" s="17">
        <f t="shared" ca="1" si="0"/>
        <v>-4984</v>
      </c>
      <c r="R32" s="18" t="s">
        <v>29</v>
      </c>
    </row>
    <row r="33" spans="1:18" ht="15.95" customHeight="1" x14ac:dyDescent="0.2">
      <c r="A33" s="9" t="s">
        <v>137</v>
      </c>
      <c r="B33" s="10" t="s">
        <v>23</v>
      </c>
      <c r="C33" s="10" t="s">
        <v>56</v>
      </c>
      <c r="D33" s="11" t="s">
        <v>138</v>
      </c>
      <c r="E33" s="11" t="s">
        <v>139</v>
      </c>
      <c r="F33" s="12" t="s">
        <v>140</v>
      </c>
      <c r="G33" s="13">
        <v>39401</v>
      </c>
      <c r="H33" s="14" t="s">
        <v>141</v>
      </c>
      <c r="I33" s="15"/>
      <c r="J33" s="15"/>
      <c r="K33" s="15"/>
      <c r="L33" s="15"/>
      <c r="M33" s="15"/>
      <c r="N33" s="15"/>
      <c r="O33" s="15"/>
      <c r="P33" s="16">
        <v>39037</v>
      </c>
      <c r="Q33" s="17" t="str">
        <f t="shared" ca="1" si="0"/>
        <v>------</v>
      </c>
      <c r="R33" s="18" t="s">
        <v>48</v>
      </c>
    </row>
    <row r="34" spans="1:18" ht="15.95" customHeight="1" x14ac:dyDescent="0.2">
      <c r="A34" s="9" t="s">
        <v>142</v>
      </c>
      <c r="B34" s="10" t="s">
        <v>23</v>
      </c>
      <c r="C34" s="10" t="s">
        <v>61</v>
      </c>
      <c r="D34" s="11" t="s">
        <v>143</v>
      </c>
      <c r="E34" s="11" t="s">
        <v>144</v>
      </c>
      <c r="F34" s="12">
        <v>3312</v>
      </c>
      <c r="G34" s="13">
        <v>39417</v>
      </c>
      <c r="H34" s="14" t="s">
        <v>145</v>
      </c>
      <c r="I34" s="15"/>
      <c r="J34" s="15"/>
      <c r="K34" s="15"/>
      <c r="L34" s="15"/>
      <c r="M34" s="15"/>
      <c r="N34" s="15"/>
      <c r="O34" s="15"/>
      <c r="P34" s="16">
        <v>37956</v>
      </c>
      <c r="Q34" s="17" t="str">
        <f t="shared" ca="1" si="0"/>
        <v>------</v>
      </c>
      <c r="R34" s="18" t="s">
        <v>41</v>
      </c>
    </row>
    <row r="35" spans="1:18" ht="15.95" customHeight="1" x14ac:dyDescent="0.2">
      <c r="A35" s="9" t="s">
        <v>146</v>
      </c>
      <c r="B35" s="20" t="s">
        <v>147</v>
      </c>
      <c r="C35" s="10" t="s">
        <v>37</v>
      </c>
      <c r="D35" s="11" t="s">
        <v>148</v>
      </c>
      <c r="E35" s="11" t="s">
        <v>149</v>
      </c>
      <c r="F35" s="12" t="s">
        <v>133</v>
      </c>
      <c r="G35" s="13">
        <v>39417</v>
      </c>
      <c r="H35" s="14" t="s">
        <v>150</v>
      </c>
      <c r="I35" s="15"/>
      <c r="J35" s="15"/>
      <c r="K35" s="15"/>
      <c r="L35" s="15"/>
      <c r="M35" s="15"/>
      <c r="N35" s="15"/>
      <c r="O35" s="15"/>
      <c r="P35" s="16">
        <v>37591</v>
      </c>
      <c r="Q35" s="17">
        <f t="shared" ca="1" si="0"/>
        <v>-4965</v>
      </c>
      <c r="R35" s="18" t="s">
        <v>96</v>
      </c>
    </row>
    <row r="36" spans="1:18" ht="15.95" customHeight="1" x14ac:dyDescent="0.2">
      <c r="A36" s="9" t="s">
        <v>151</v>
      </c>
      <c r="B36" s="10" t="s">
        <v>23</v>
      </c>
      <c r="C36" s="10" t="s">
        <v>61</v>
      </c>
      <c r="D36" s="11" t="s">
        <v>152</v>
      </c>
      <c r="E36" s="11" t="s">
        <v>153</v>
      </c>
      <c r="F36" s="12">
        <f>550*12</f>
        <v>6600</v>
      </c>
      <c r="G36" s="13">
        <v>39424</v>
      </c>
      <c r="H36" s="14" t="s">
        <v>154</v>
      </c>
      <c r="I36" s="15"/>
      <c r="J36" s="15"/>
      <c r="K36" s="15"/>
      <c r="L36" s="15"/>
      <c r="M36" s="15"/>
      <c r="N36" s="15"/>
      <c r="O36" s="15"/>
      <c r="P36" s="16">
        <v>37963</v>
      </c>
      <c r="Q36" s="17" t="str">
        <f t="shared" ca="1" si="0"/>
        <v>------</v>
      </c>
      <c r="R36" s="18" t="s">
        <v>48</v>
      </c>
    </row>
    <row r="37" spans="1:18" ht="15.95" customHeight="1" x14ac:dyDescent="0.2">
      <c r="A37" s="9" t="s">
        <v>155</v>
      </c>
      <c r="B37" s="10" t="s">
        <v>23</v>
      </c>
      <c r="C37" s="10" t="s">
        <v>61</v>
      </c>
      <c r="D37" s="11" t="s">
        <v>156</v>
      </c>
      <c r="E37" s="11" t="s">
        <v>157</v>
      </c>
      <c r="F37" s="12">
        <f>56.52*12</f>
        <v>678.24</v>
      </c>
      <c r="G37" s="13">
        <v>39432</v>
      </c>
      <c r="H37" s="14" t="s">
        <v>150</v>
      </c>
      <c r="I37" s="15"/>
      <c r="J37" s="15"/>
      <c r="K37" s="15"/>
      <c r="L37" s="15"/>
      <c r="M37" s="15"/>
      <c r="N37" s="15"/>
      <c r="O37" s="15"/>
      <c r="P37" s="16">
        <v>38338</v>
      </c>
      <c r="Q37" s="17" t="str">
        <f t="shared" ca="1" si="0"/>
        <v>------</v>
      </c>
      <c r="R37" s="18" t="s">
        <v>158</v>
      </c>
    </row>
    <row r="38" spans="1:18" ht="15.95" customHeight="1" x14ac:dyDescent="0.2">
      <c r="A38" s="9" t="s">
        <v>159</v>
      </c>
      <c r="B38" s="20" t="s">
        <v>160</v>
      </c>
      <c r="C38" s="10" t="s">
        <v>37</v>
      </c>
      <c r="D38" s="11" t="s">
        <v>161</v>
      </c>
      <c r="E38" s="11" t="s">
        <v>162</v>
      </c>
      <c r="F38" s="12">
        <v>31000</v>
      </c>
      <c r="G38" s="13">
        <v>39442</v>
      </c>
      <c r="H38" s="14" t="s">
        <v>163</v>
      </c>
      <c r="I38" s="15"/>
      <c r="J38" s="15"/>
      <c r="K38" s="15"/>
      <c r="L38" s="15"/>
      <c r="M38" s="15"/>
      <c r="N38" s="15"/>
      <c r="O38" s="15"/>
      <c r="P38" s="16">
        <v>39078</v>
      </c>
      <c r="Q38" s="17">
        <f t="shared" ca="1" si="0"/>
        <v>-3478</v>
      </c>
      <c r="R38" s="18" t="s">
        <v>41</v>
      </c>
    </row>
    <row r="39" spans="1:18" ht="15.95" customHeight="1" x14ac:dyDescent="0.2">
      <c r="A39" s="29" t="s">
        <v>164</v>
      </c>
      <c r="B39" s="20" t="s">
        <v>165</v>
      </c>
      <c r="C39" s="10" t="s">
        <v>37</v>
      </c>
      <c r="D39" s="11" t="s">
        <v>166</v>
      </c>
      <c r="E39" s="11" t="s">
        <v>167</v>
      </c>
      <c r="F39" s="12">
        <v>30000</v>
      </c>
      <c r="G39" s="13">
        <v>39444</v>
      </c>
      <c r="H39" s="14" t="s">
        <v>168</v>
      </c>
      <c r="I39" s="15"/>
      <c r="J39" s="15"/>
      <c r="K39" s="15"/>
      <c r="L39" s="15"/>
      <c r="M39" s="15"/>
      <c r="N39" s="15"/>
      <c r="O39" s="15"/>
      <c r="P39" s="16">
        <v>39080</v>
      </c>
      <c r="Q39" s="17">
        <f t="shared" ca="1" si="0"/>
        <v>-3476</v>
      </c>
      <c r="R39" s="18" t="s">
        <v>169</v>
      </c>
    </row>
    <row r="40" spans="1:18" ht="15.95" customHeight="1" x14ac:dyDescent="0.2">
      <c r="A40" s="9" t="s">
        <v>170</v>
      </c>
      <c r="B40" s="10" t="s">
        <v>23</v>
      </c>
      <c r="C40" s="10" t="s">
        <v>61</v>
      </c>
      <c r="D40" s="11" t="s">
        <v>171</v>
      </c>
      <c r="E40" s="11" t="s">
        <v>172</v>
      </c>
      <c r="F40" s="12" t="s">
        <v>173</v>
      </c>
      <c r="G40" s="13">
        <v>39446</v>
      </c>
      <c r="H40" s="14" t="s">
        <v>174</v>
      </c>
      <c r="I40" s="15"/>
      <c r="J40" s="15"/>
      <c r="K40" s="15"/>
      <c r="L40" s="15"/>
      <c r="M40" s="15"/>
      <c r="N40" s="15"/>
      <c r="O40" s="15"/>
      <c r="P40" s="16">
        <v>37985</v>
      </c>
      <c r="Q40" s="17" t="str">
        <f t="shared" ca="1" si="0"/>
        <v>------</v>
      </c>
      <c r="R40" s="18" t="s">
        <v>54</v>
      </c>
    </row>
    <row r="41" spans="1:18" ht="15.95" customHeight="1" x14ac:dyDescent="0.2">
      <c r="A41" s="30" t="s">
        <v>175</v>
      </c>
      <c r="B41" s="22" t="s">
        <v>23</v>
      </c>
      <c r="C41" s="10" t="s">
        <v>61</v>
      </c>
      <c r="D41" s="11" t="s">
        <v>176</v>
      </c>
      <c r="E41" s="11" t="s">
        <v>177</v>
      </c>
      <c r="F41" s="12">
        <v>15900</v>
      </c>
      <c r="G41" s="13">
        <v>39447</v>
      </c>
      <c r="H41" s="14" t="s">
        <v>178</v>
      </c>
      <c r="I41" s="15"/>
      <c r="J41" s="15"/>
      <c r="K41" s="15"/>
      <c r="L41" s="15"/>
      <c r="M41" s="15"/>
      <c r="N41" s="15"/>
      <c r="O41" s="15"/>
      <c r="P41" s="16">
        <v>38717</v>
      </c>
      <c r="Q41" s="17" t="str">
        <f t="shared" ca="1" si="0"/>
        <v>------</v>
      </c>
      <c r="R41" s="18" t="s">
        <v>179</v>
      </c>
    </row>
    <row r="42" spans="1:18" ht="15.95" customHeight="1" x14ac:dyDescent="0.2">
      <c r="A42" s="9" t="s">
        <v>137</v>
      </c>
      <c r="B42" s="10" t="s">
        <v>23</v>
      </c>
      <c r="C42" s="10" t="s">
        <v>56</v>
      </c>
      <c r="D42" s="11" t="s">
        <v>180</v>
      </c>
      <c r="E42" s="11" t="s">
        <v>181</v>
      </c>
      <c r="F42" s="12" t="s">
        <v>182</v>
      </c>
      <c r="G42" s="13">
        <v>39450</v>
      </c>
      <c r="H42" s="14" t="s">
        <v>183</v>
      </c>
      <c r="I42" s="15"/>
      <c r="J42" s="15"/>
      <c r="K42" s="15"/>
      <c r="L42" s="15"/>
      <c r="M42" s="15"/>
      <c r="N42" s="15"/>
      <c r="O42" s="15"/>
      <c r="P42" s="16">
        <v>39086</v>
      </c>
      <c r="Q42" s="17" t="str">
        <f t="shared" ca="1" si="0"/>
        <v>------</v>
      </c>
      <c r="R42" s="18" t="s">
        <v>48</v>
      </c>
    </row>
    <row r="43" spans="1:18" ht="15.95" customHeight="1" x14ac:dyDescent="0.2">
      <c r="A43" s="31" t="s">
        <v>184</v>
      </c>
      <c r="B43" s="32" t="s">
        <v>185</v>
      </c>
      <c r="C43" s="33" t="s">
        <v>37</v>
      </c>
      <c r="D43" s="34" t="s">
        <v>186</v>
      </c>
      <c r="E43" s="34" t="s">
        <v>187</v>
      </c>
      <c r="F43" s="35">
        <v>70800</v>
      </c>
      <c r="G43" s="36">
        <v>39462</v>
      </c>
      <c r="H43" s="37" t="s">
        <v>188</v>
      </c>
      <c r="I43" s="38"/>
      <c r="J43" s="38"/>
      <c r="K43" s="38"/>
      <c r="L43" s="38"/>
      <c r="M43" s="38"/>
      <c r="N43" s="38"/>
      <c r="O43" s="38"/>
      <c r="P43" s="39">
        <v>38732</v>
      </c>
      <c r="Q43" s="40">
        <f t="shared" ca="1" si="0"/>
        <v>-3824</v>
      </c>
      <c r="R43" s="41" t="s">
        <v>169</v>
      </c>
    </row>
    <row r="44" spans="1:18" ht="15.95" customHeight="1" x14ac:dyDescent="0.2">
      <c r="A44" s="31" t="s">
        <v>189</v>
      </c>
      <c r="B44" s="33" t="s">
        <v>23</v>
      </c>
      <c r="C44" s="33" t="s">
        <v>61</v>
      </c>
      <c r="D44" s="34" t="s">
        <v>190</v>
      </c>
      <c r="E44" s="34" t="s">
        <v>191</v>
      </c>
      <c r="F44" s="35">
        <v>1959.48</v>
      </c>
      <c r="G44" s="36">
        <v>39480</v>
      </c>
      <c r="H44" s="37" t="s">
        <v>192</v>
      </c>
      <c r="I44" s="38"/>
      <c r="J44" s="38"/>
      <c r="K44" s="38"/>
      <c r="L44" s="38"/>
      <c r="M44" s="38"/>
      <c r="N44" s="38"/>
      <c r="O44" s="38"/>
      <c r="P44" s="39">
        <v>38385</v>
      </c>
      <c r="Q44" s="40" t="str">
        <f t="shared" ca="1" si="0"/>
        <v>------</v>
      </c>
      <c r="R44" s="41" t="s">
        <v>48</v>
      </c>
    </row>
    <row r="45" spans="1:18" ht="15.95" customHeight="1" x14ac:dyDescent="0.2">
      <c r="A45" s="31" t="s">
        <v>193</v>
      </c>
      <c r="B45" s="33" t="s">
        <v>23</v>
      </c>
      <c r="C45" s="33" t="s">
        <v>56</v>
      </c>
      <c r="D45" s="34" t="s">
        <v>194</v>
      </c>
      <c r="E45" s="34" t="s">
        <v>195</v>
      </c>
      <c r="F45" s="35">
        <v>15600</v>
      </c>
      <c r="G45" s="36">
        <v>39489</v>
      </c>
      <c r="H45" s="37" t="s">
        <v>196</v>
      </c>
      <c r="I45" s="38"/>
      <c r="J45" s="38"/>
      <c r="K45" s="38"/>
      <c r="L45" s="38"/>
      <c r="M45" s="38"/>
      <c r="N45" s="38"/>
      <c r="O45" s="38"/>
      <c r="P45" s="39">
        <v>39125</v>
      </c>
      <c r="Q45" s="40" t="str">
        <f t="shared" ca="1" si="0"/>
        <v>------</v>
      </c>
      <c r="R45" s="41" t="s">
        <v>48</v>
      </c>
    </row>
    <row r="46" spans="1:18" ht="15.95" customHeight="1" x14ac:dyDescent="0.2">
      <c r="A46" s="31" t="s">
        <v>197</v>
      </c>
      <c r="B46" s="33" t="s">
        <v>23</v>
      </c>
      <c r="C46" s="33" t="s">
        <v>56</v>
      </c>
      <c r="D46" s="34" t="s">
        <v>198</v>
      </c>
      <c r="E46" s="34" t="s">
        <v>199</v>
      </c>
      <c r="F46" s="35">
        <f>143.5*12</f>
        <v>1722</v>
      </c>
      <c r="G46" s="36">
        <v>39506</v>
      </c>
      <c r="H46" s="37" t="s">
        <v>200</v>
      </c>
      <c r="I46" s="38"/>
      <c r="J46" s="38"/>
      <c r="K46" s="38"/>
      <c r="L46" s="38"/>
      <c r="M46" s="38"/>
      <c r="N46" s="38"/>
      <c r="O46" s="38"/>
      <c r="P46" s="39">
        <v>38412</v>
      </c>
      <c r="Q46" s="40" t="str">
        <f t="shared" ca="1" si="0"/>
        <v>------</v>
      </c>
      <c r="R46" s="41" t="s">
        <v>201</v>
      </c>
    </row>
    <row r="47" spans="1:18" ht="15.95" customHeight="1" x14ac:dyDescent="0.2">
      <c r="A47" s="31" t="s">
        <v>202</v>
      </c>
      <c r="B47" s="33" t="s">
        <v>23</v>
      </c>
      <c r="C47" s="33" t="s">
        <v>56</v>
      </c>
      <c r="D47" s="34" t="s">
        <v>203</v>
      </c>
      <c r="E47" s="34" t="s">
        <v>204</v>
      </c>
      <c r="F47" s="35">
        <v>5410.56</v>
      </c>
      <c r="G47" s="36">
        <v>39516</v>
      </c>
      <c r="H47" s="37" t="s">
        <v>205</v>
      </c>
      <c r="I47" s="38"/>
      <c r="J47" s="38"/>
      <c r="K47" s="38"/>
      <c r="L47" s="38"/>
      <c r="M47" s="38"/>
      <c r="N47" s="38"/>
      <c r="O47" s="38"/>
      <c r="P47" s="39">
        <v>37711</v>
      </c>
      <c r="Q47" s="40" t="str">
        <f t="shared" ca="1" si="0"/>
        <v>------</v>
      </c>
      <c r="R47" s="41" t="s">
        <v>96</v>
      </c>
    </row>
    <row r="48" spans="1:18" ht="15.95" customHeight="1" x14ac:dyDescent="0.2">
      <c r="A48" s="31" t="s">
        <v>206</v>
      </c>
      <c r="B48" s="33" t="s">
        <v>23</v>
      </c>
      <c r="C48" s="33" t="s">
        <v>56</v>
      </c>
      <c r="D48" s="34" t="s">
        <v>207</v>
      </c>
      <c r="E48" s="34" t="s">
        <v>208</v>
      </c>
      <c r="F48" s="35" t="s">
        <v>209</v>
      </c>
      <c r="G48" s="36">
        <v>39523</v>
      </c>
      <c r="H48" s="37" t="s">
        <v>210</v>
      </c>
      <c r="I48" s="38"/>
      <c r="J48" s="38"/>
      <c r="K48" s="38"/>
      <c r="L48" s="38"/>
      <c r="M48" s="38"/>
      <c r="N48" s="38"/>
      <c r="O48" s="38"/>
      <c r="P48" s="39">
        <v>38062</v>
      </c>
      <c r="Q48" s="40" t="str">
        <f t="shared" ca="1" si="0"/>
        <v>------</v>
      </c>
      <c r="R48" s="41" t="s">
        <v>48</v>
      </c>
    </row>
    <row r="49" spans="1:23" ht="15.95" customHeight="1" x14ac:dyDescent="0.2">
      <c r="A49" s="31" t="s">
        <v>211</v>
      </c>
      <c r="B49" s="33" t="s">
        <v>23</v>
      </c>
      <c r="C49" s="33" t="s">
        <v>56</v>
      </c>
      <c r="D49" s="34" t="s">
        <v>212</v>
      </c>
      <c r="E49" s="34" t="s">
        <v>213</v>
      </c>
      <c r="F49" s="35">
        <v>1987.68</v>
      </c>
      <c r="G49" s="36">
        <v>39525</v>
      </c>
      <c r="H49" s="37" t="s">
        <v>214</v>
      </c>
      <c r="I49" s="38"/>
      <c r="J49" s="38"/>
      <c r="K49" s="38"/>
      <c r="L49" s="38"/>
      <c r="M49" s="38"/>
      <c r="N49" s="38"/>
      <c r="O49" s="38"/>
      <c r="P49" s="39">
        <v>37700</v>
      </c>
      <c r="Q49" s="40" t="str">
        <f t="shared" ca="1" si="0"/>
        <v>------</v>
      </c>
      <c r="R49" s="41" t="s">
        <v>48</v>
      </c>
    </row>
    <row r="50" spans="1:23" ht="15.95" customHeight="1" x14ac:dyDescent="0.2">
      <c r="A50" s="31" t="s">
        <v>215</v>
      </c>
      <c r="B50" s="33" t="s">
        <v>23</v>
      </c>
      <c r="C50" s="33" t="s">
        <v>24</v>
      </c>
      <c r="D50" s="34" t="s">
        <v>216</v>
      </c>
      <c r="E50" s="34" t="s">
        <v>217</v>
      </c>
      <c r="F50" s="35" t="s">
        <v>218</v>
      </c>
      <c r="G50" s="36">
        <v>39725</v>
      </c>
      <c r="H50" s="37" t="s">
        <v>219</v>
      </c>
      <c r="I50" s="38"/>
      <c r="J50" s="38"/>
      <c r="K50" s="38"/>
      <c r="L50" s="38"/>
      <c r="M50" s="38"/>
      <c r="N50" s="38"/>
      <c r="O50" s="38"/>
      <c r="P50" s="39">
        <v>36795</v>
      </c>
      <c r="Q50" s="40" t="str">
        <f t="shared" ca="1" si="0"/>
        <v>------</v>
      </c>
      <c r="R50" s="41" t="s">
        <v>169</v>
      </c>
    </row>
    <row r="51" spans="1:23" ht="15.95" customHeight="1" x14ac:dyDescent="0.2">
      <c r="A51" s="31" t="s">
        <v>220</v>
      </c>
      <c r="B51" s="33" t="s">
        <v>23</v>
      </c>
      <c r="C51" s="33" t="s">
        <v>61</v>
      </c>
      <c r="D51" s="34" t="s">
        <v>221</v>
      </c>
      <c r="E51" s="34" t="s">
        <v>222</v>
      </c>
      <c r="F51" s="35">
        <f>6300*12</f>
        <v>75600</v>
      </c>
      <c r="G51" s="36">
        <v>39825</v>
      </c>
      <c r="H51" s="37" t="s">
        <v>223</v>
      </c>
      <c r="I51" s="38"/>
      <c r="J51" s="38"/>
      <c r="K51" s="38"/>
      <c r="L51" s="38"/>
      <c r="M51" s="38"/>
      <c r="N51" s="38"/>
      <c r="O51" s="38"/>
      <c r="P51" s="39">
        <v>36903</v>
      </c>
      <c r="Q51" s="40" t="str">
        <f t="shared" ca="1" si="0"/>
        <v>------</v>
      </c>
      <c r="R51" s="41" t="s">
        <v>48</v>
      </c>
    </row>
    <row r="52" spans="1:23" ht="15.95" customHeight="1" x14ac:dyDescent="0.2">
      <c r="A52" s="31" t="s">
        <v>224</v>
      </c>
      <c r="B52" s="33" t="s">
        <v>225</v>
      </c>
      <c r="C52" s="33" t="s">
        <v>226</v>
      </c>
      <c r="D52" s="34" t="s">
        <v>227</v>
      </c>
      <c r="E52" s="34" t="s">
        <v>228</v>
      </c>
      <c r="F52" s="35">
        <v>32400</v>
      </c>
      <c r="G52" s="36">
        <v>39842</v>
      </c>
      <c r="H52" s="37" t="s">
        <v>229</v>
      </c>
      <c r="I52" s="38"/>
      <c r="J52" s="38"/>
      <c r="K52" s="38"/>
      <c r="L52" s="38"/>
      <c r="M52" s="38"/>
      <c r="N52" s="38"/>
      <c r="O52" s="38"/>
      <c r="P52" s="39">
        <v>38747</v>
      </c>
      <c r="Q52" s="40">
        <f t="shared" ca="1" si="0"/>
        <v>-3809</v>
      </c>
      <c r="R52" s="41" t="s">
        <v>41</v>
      </c>
    </row>
    <row r="53" spans="1:23" ht="15.95" customHeight="1" x14ac:dyDescent="0.2">
      <c r="A53" s="42" t="s">
        <v>230</v>
      </c>
      <c r="B53" s="43" t="s">
        <v>23</v>
      </c>
      <c r="C53" s="43" t="s">
        <v>61</v>
      </c>
      <c r="D53" s="44" t="s">
        <v>231</v>
      </c>
      <c r="E53" s="44" t="s">
        <v>232</v>
      </c>
      <c r="F53" s="45">
        <v>21785.16</v>
      </c>
      <c r="G53" s="46" t="s">
        <v>233</v>
      </c>
      <c r="H53" s="47" t="s">
        <v>234</v>
      </c>
      <c r="I53" s="48"/>
      <c r="J53" s="48"/>
      <c r="K53" s="48"/>
      <c r="L53" s="48"/>
      <c r="M53" s="48"/>
      <c r="N53" s="48"/>
      <c r="O53" s="48"/>
      <c r="P53" s="49">
        <v>37043</v>
      </c>
      <c r="Q53" s="50" t="str">
        <f t="shared" ca="1" si="0"/>
        <v>------</v>
      </c>
      <c r="R53" s="51" t="s">
        <v>54</v>
      </c>
    </row>
    <row r="54" spans="1:23" ht="11.85" customHeight="1" x14ac:dyDescent="0.2">
      <c r="A54" s="52"/>
      <c r="B54" s="52"/>
      <c r="C54" s="52"/>
      <c r="E54" s="52"/>
      <c r="G54" s="52"/>
    </row>
    <row r="55" spans="1:23" ht="12.6" customHeight="1" x14ac:dyDescent="0.2">
      <c r="A55" s="52"/>
      <c r="B55" s="52"/>
      <c r="C55" s="52"/>
      <c r="D55" s="53" t="s">
        <v>235</v>
      </c>
      <c r="E55" s="52"/>
      <c r="G55" s="52"/>
      <c r="P55" s="927"/>
      <c r="Q55" s="927"/>
      <c r="R55" s="927"/>
      <c r="S55" s="927"/>
      <c r="T55" s="927"/>
      <c r="U55" s="927"/>
      <c r="V55" s="927"/>
      <c r="W55" s="927"/>
    </row>
    <row r="56" spans="1:23" ht="11.85" customHeight="1" x14ac:dyDescent="0.2">
      <c r="A56" s="52"/>
      <c r="B56" s="52"/>
      <c r="C56" s="52"/>
      <c r="D56" s="53" t="s">
        <v>236</v>
      </c>
      <c r="E56" s="52"/>
      <c r="G56" s="52"/>
    </row>
    <row r="57" spans="1:23" ht="11.85" customHeight="1" x14ac:dyDescent="0.2">
      <c r="A57" s="52"/>
      <c r="B57" s="52"/>
      <c r="C57" s="52"/>
      <c r="D57" s="53" t="s">
        <v>237</v>
      </c>
      <c r="E57" s="52"/>
      <c r="G57" s="52"/>
    </row>
    <row r="58" spans="1:23" ht="11.85" customHeight="1" x14ac:dyDescent="0.2">
      <c r="D58" s="53" t="s">
        <v>238</v>
      </c>
    </row>
    <row r="59" spans="1:23" ht="11.85" customHeight="1" x14ac:dyDescent="0.2">
      <c r="D59" s="54" t="s">
        <v>239</v>
      </c>
    </row>
  </sheetData>
  <sheetProtection sheet="1" objects="1" scenarios="1"/>
  <mergeCells count="15">
    <mergeCell ref="E9:E10"/>
    <mergeCell ref="F9:F10"/>
    <mergeCell ref="H9:H10"/>
    <mergeCell ref="I9:I10"/>
    <mergeCell ref="J9:N9"/>
    <mergeCell ref="G9:G10"/>
    <mergeCell ref="P9:P10"/>
    <mergeCell ref="R9:R10"/>
    <mergeCell ref="P55:W55"/>
    <mergeCell ref="O9:O10"/>
    <mergeCell ref="A8:R8"/>
    <mergeCell ref="A9:A10"/>
    <mergeCell ref="B9:B10"/>
    <mergeCell ref="C9:C10"/>
    <mergeCell ref="D9:D10"/>
  </mergeCells>
  <phoneticPr fontId="2" type="noConversion"/>
  <pageMargins left="0.39374999999999999" right="0.39374999999999999" top="0.59027777777777779" bottom="0.39374999999999999" header="0.51180555555555551" footer="0.51180555555555551"/>
  <pageSetup paperSize="9" scale="65" firstPageNumber="0" orientation="landscape"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AK81"/>
  <sheetViews>
    <sheetView topLeftCell="E44" zoomScale="81" zoomScaleNormal="81" workbookViewId="0">
      <selection activeCell="V51" sqref="V51"/>
    </sheetView>
  </sheetViews>
  <sheetFormatPr defaultColWidth="7.42578125" defaultRowHeight="20.100000000000001" customHeight="1" x14ac:dyDescent="0.2"/>
  <cols>
    <col min="1" max="1" width="11.42578125" style="1" customWidth="1"/>
    <col min="2" max="3" width="13.28515625" style="1" hidden="1" customWidth="1"/>
    <col min="4" max="4" width="51.85546875" style="1" bestFit="1" customWidth="1"/>
    <col min="5" max="5" width="75.5703125" style="1" bestFit="1" customWidth="1"/>
    <col min="6" max="6" width="11.5703125" style="6" customWidth="1"/>
    <col min="7" max="7" width="21.28515625" style="2" customWidth="1"/>
    <col min="8" max="16" width="12" style="2" hidden="1" customWidth="1"/>
    <col min="17" max="18" width="13.28515625" style="2" hidden="1" customWidth="1"/>
    <col min="19" max="19" width="13.7109375" style="2" hidden="1" customWidth="1"/>
    <col min="20" max="20" width="18.5703125" style="2" hidden="1" customWidth="1"/>
    <col min="21" max="21" width="12.5703125" style="55" customWidth="1"/>
    <col min="22" max="22" width="35.5703125" style="2" customWidth="1"/>
    <col min="23" max="23" width="17.5703125" style="6" hidden="1" customWidth="1"/>
    <col min="24" max="24" width="3.42578125" style="1" hidden="1" customWidth="1"/>
    <col min="25" max="25" width="3.7109375" style="1" hidden="1" customWidth="1"/>
    <col min="26" max="26" width="5.140625" style="1" hidden="1" customWidth="1"/>
    <col min="27" max="27" width="4.5703125" style="1" hidden="1" customWidth="1"/>
    <col min="28" max="28" width="6" style="1" hidden="1" customWidth="1"/>
    <col min="29" max="29" width="10.140625" style="55" hidden="1" customWidth="1"/>
    <col min="30" max="30" width="11.7109375" style="1" customWidth="1"/>
    <col min="31" max="31" width="15" style="1" hidden="1" customWidth="1"/>
    <col min="32" max="32" width="9.28515625" style="1" hidden="1" customWidth="1"/>
    <col min="33" max="16384" width="7.42578125" style="1"/>
  </cols>
  <sheetData>
    <row r="6" spans="1:32" ht="20.100000000000001" customHeight="1" thickBot="1" x14ac:dyDescent="0.3">
      <c r="A6" s="929" t="s">
        <v>922</v>
      </c>
      <c r="B6" s="929"/>
      <c r="C6" s="929"/>
      <c r="D6" s="929"/>
      <c r="E6" s="929"/>
      <c r="F6" s="929"/>
      <c r="G6" s="929"/>
      <c r="H6" s="929"/>
      <c r="I6" s="929"/>
      <c r="J6" s="929"/>
      <c r="K6" s="929"/>
      <c r="L6" s="929"/>
      <c r="M6" s="929"/>
      <c r="N6" s="929"/>
      <c r="O6" s="929"/>
      <c r="P6" s="929"/>
      <c r="Q6" s="929"/>
      <c r="R6" s="929"/>
      <c r="S6" s="929"/>
      <c r="T6" s="929"/>
      <c r="U6" s="929"/>
      <c r="V6" s="929"/>
      <c r="W6" s="929"/>
      <c r="X6" s="929"/>
      <c r="Y6" s="929"/>
      <c r="Z6" s="929"/>
      <c r="AA6" s="929"/>
      <c r="AB6" s="929"/>
      <c r="AC6" s="929"/>
      <c r="AD6" s="929"/>
      <c r="AE6" s="929"/>
      <c r="AF6" s="929"/>
    </row>
    <row r="7" spans="1:32" ht="20.100000000000001" customHeight="1" thickTop="1" x14ac:dyDescent="0.25">
      <c r="A7" s="258"/>
      <c r="B7" s="258"/>
      <c r="C7" s="258"/>
      <c r="D7" s="258"/>
      <c r="E7" s="258"/>
      <c r="F7" s="258"/>
      <c r="G7" s="258"/>
      <c r="H7" s="1"/>
      <c r="I7" s="1"/>
      <c r="J7" s="1"/>
      <c r="K7" s="1"/>
      <c r="L7" s="1"/>
      <c r="M7" s="1"/>
      <c r="N7" s="1"/>
      <c r="O7" s="1"/>
      <c r="P7" s="1"/>
      <c r="Q7" s="1"/>
      <c r="R7" s="1"/>
      <c r="S7" s="1"/>
      <c r="T7" s="1"/>
      <c r="U7" s="258"/>
      <c r="V7" s="258"/>
      <c r="W7" s="258"/>
      <c r="X7" s="258"/>
      <c r="Y7" s="258"/>
      <c r="Z7" s="258"/>
      <c r="AA7" s="258"/>
      <c r="AB7" s="258"/>
      <c r="AC7" s="259"/>
      <c r="AD7" s="258"/>
      <c r="AE7" s="258" t="s">
        <v>0</v>
      </c>
      <c r="AF7" s="258"/>
    </row>
    <row r="8" spans="1:32" ht="20.100000000000001" customHeight="1" thickBot="1" x14ac:dyDescent="0.3">
      <c r="A8" s="258"/>
      <c r="B8" s="258"/>
      <c r="C8" s="258"/>
      <c r="D8" s="258"/>
      <c r="E8" s="258"/>
      <c r="F8" s="258"/>
      <c r="G8" s="259"/>
      <c r="H8" s="1"/>
      <c r="I8" s="1"/>
      <c r="J8" s="1"/>
      <c r="K8" s="1"/>
      <c r="L8" s="1"/>
      <c r="M8" s="1"/>
      <c r="N8" s="1"/>
      <c r="O8" s="1"/>
      <c r="P8" s="1"/>
      <c r="Q8" s="1"/>
      <c r="R8" s="1"/>
      <c r="S8" s="1"/>
      <c r="T8" s="1"/>
      <c r="U8" s="258"/>
      <c r="V8" s="258"/>
      <c r="W8" s="258"/>
      <c r="X8" s="258"/>
      <c r="Y8" s="258"/>
      <c r="Z8" s="258"/>
      <c r="AA8" s="258"/>
      <c r="AB8" s="258"/>
      <c r="AC8" s="259"/>
      <c r="AD8" s="258"/>
      <c r="AE8" s="259">
        <v>40908</v>
      </c>
      <c r="AF8" s="258"/>
    </row>
    <row r="9" spans="1:32" s="265" customFormat="1" ht="30" customHeight="1" thickTop="1" thickBot="1" x14ac:dyDescent="0.25">
      <c r="A9" s="956" t="s">
        <v>2</v>
      </c>
      <c r="B9" s="958" t="s">
        <v>3</v>
      </c>
      <c r="C9" s="958" t="s">
        <v>4</v>
      </c>
      <c r="D9" s="960" t="s">
        <v>5</v>
      </c>
      <c r="E9" s="960" t="s">
        <v>6</v>
      </c>
      <c r="F9" s="385" t="s">
        <v>991</v>
      </c>
      <c r="G9" s="960" t="s">
        <v>7</v>
      </c>
      <c r="H9" s="961" t="s">
        <v>821</v>
      </c>
      <c r="I9" s="961"/>
      <c r="J9" s="961"/>
      <c r="K9" s="961"/>
      <c r="L9" s="961"/>
      <c r="M9" s="961"/>
      <c r="N9" s="961"/>
      <c r="O9" s="961"/>
      <c r="P9" s="961"/>
      <c r="Q9" s="961"/>
      <c r="R9" s="961"/>
      <c r="S9" s="961"/>
      <c r="T9" s="961"/>
      <c r="U9" s="962" t="s">
        <v>8</v>
      </c>
      <c r="V9" s="960" t="s">
        <v>9</v>
      </c>
      <c r="W9" s="960" t="s">
        <v>10</v>
      </c>
      <c r="X9" s="964" t="s">
        <v>11</v>
      </c>
      <c r="Y9" s="964"/>
      <c r="Z9" s="964"/>
      <c r="AA9" s="964"/>
      <c r="AB9" s="964"/>
      <c r="AC9" s="962" t="s">
        <v>835</v>
      </c>
      <c r="AD9" s="263" t="s">
        <v>892</v>
      </c>
      <c r="AE9" s="264" t="s">
        <v>820</v>
      </c>
      <c r="AF9" s="965" t="s">
        <v>15</v>
      </c>
    </row>
    <row r="10" spans="1:32" s="265" customFormat="1" ht="30" customHeight="1" thickTop="1" thickBot="1" x14ac:dyDescent="0.25">
      <c r="A10" s="957"/>
      <c r="B10" s="959"/>
      <c r="C10" s="959"/>
      <c r="D10" s="958"/>
      <c r="E10" s="958"/>
      <c r="F10" s="386" t="s">
        <v>1003</v>
      </c>
      <c r="G10" s="958"/>
      <c r="H10" s="266" t="s">
        <v>822</v>
      </c>
      <c r="I10" s="266" t="s">
        <v>823</v>
      </c>
      <c r="J10" s="266" t="s">
        <v>824</v>
      </c>
      <c r="K10" s="266" t="s">
        <v>825</v>
      </c>
      <c r="L10" s="266" t="s">
        <v>826</v>
      </c>
      <c r="M10" s="266" t="s">
        <v>827</v>
      </c>
      <c r="N10" s="266" t="s">
        <v>828</v>
      </c>
      <c r="O10" s="266" t="s">
        <v>829</v>
      </c>
      <c r="P10" s="266" t="s">
        <v>830</v>
      </c>
      <c r="Q10" s="266" t="s">
        <v>831</v>
      </c>
      <c r="R10" s="266" t="s">
        <v>832</v>
      </c>
      <c r="S10" s="266" t="s">
        <v>833</v>
      </c>
      <c r="T10" s="266" t="s">
        <v>890</v>
      </c>
      <c r="U10" s="963"/>
      <c r="V10" s="958"/>
      <c r="W10" s="958"/>
      <c r="X10" s="267" t="s">
        <v>16</v>
      </c>
      <c r="Y10" s="267" t="s">
        <v>17</v>
      </c>
      <c r="Z10" s="267" t="s">
        <v>18</v>
      </c>
      <c r="AA10" s="267" t="s">
        <v>19</v>
      </c>
      <c r="AB10" s="267" t="s">
        <v>20</v>
      </c>
      <c r="AC10" s="963"/>
      <c r="AD10" s="268" t="s">
        <v>893</v>
      </c>
      <c r="AE10" s="269" t="s">
        <v>244</v>
      </c>
      <c r="AF10" s="966"/>
    </row>
    <row r="11" spans="1:32" s="279" customFormat="1" ht="30" customHeight="1" thickBot="1" x14ac:dyDescent="0.25">
      <c r="A11" s="270" t="s">
        <v>77</v>
      </c>
      <c r="B11" s="350" t="s">
        <v>23</v>
      </c>
      <c r="C11" s="270" t="s">
        <v>24</v>
      </c>
      <c r="D11" s="271" t="s">
        <v>810</v>
      </c>
      <c r="E11" s="271" t="s">
        <v>79</v>
      </c>
      <c r="F11" s="388">
        <v>70800</v>
      </c>
      <c r="G11" s="272" t="s">
        <v>80</v>
      </c>
      <c r="H11" s="273">
        <v>474.9</v>
      </c>
      <c r="I11" s="273">
        <v>529.9</v>
      </c>
      <c r="J11" s="273">
        <v>601</v>
      </c>
      <c r="K11" s="273">
        <v>385.2</v>
      </c>
      <c r="L11" s="273">
        <v>0</v>
      </c>
      <c r="M11" s="273">
        <v>0</v>
      </c>
      <c r="N11" s="273">
        <v>0</v>
      </c>
      <c r="O11" s="273">
        <v>0</v>
      </c>
      <c r="P11" s="273">
        <v>0</v>
      </c>
      <c r="Q11" s="273">
        <v>0</v>
      </c>
      <c r="R11" s="273">
        <v>0</v>
      </c>
      <c r="S11" s="273">
        <v>0</v>
      </c>
      <c r="T11" s="273">
        <f t="shared" ref="T11:T35" si="0">SUM(H11:S11)</f>
        <v>1991</v>
      </c>
      <c r="U11" s="275">
        <v>39265</v>
      </c>
      <c r="V11" s="393" t="s">
        <v>945</v>
      </c>
      <c r="W11" s="393"/>
      <c r="X11" s="276"/>
      <c r="Y11" s="276"/>
      <c r="Z11" s="276"/>
      <c r="AA11" s="276"/>
      <c r="AB11" s="276"/>
      <c r="AC11" s="277"/>
      <c r="AD11" s="394">
        <v>38901</v>
      </c>
      <c r="AE11" s="278">
        <f ca="1">TODAY()-DATE(YEAR(AD11)+6,MONTH(AD11),DAY(AD11))</f>
        <v>3289</v>
      </c>
      <c r="AF11" s="270" t="s">
        <v>34</v>
      </c>
    </row>
    <row r="12" spans="1:32" s="279" customFormat="1" ht="30" customHeight="1" thickBot="1" x14ac:dyDescent="0.25">
      <c r="A12" s="280" t="s">
        <v>353</v>
      </c>
      <c r="B12" s="286" t="s">
        <v>23</v>
      </c>
      <c r="C12" s="280" t="s">
        <v>24</v>
      </c>
      <c r="D12" s="281" t="s">
        <v>260</v>
      </c>
      <c r="E12" s="281" t="s">
        <v>26</v>
      </c>
      <c r="F12" s="302" t="s">
        <v>1069</v>
      </c>
      <c r="G12" s="302" t="s">
        <v>1069</v>
      </c>
      <c r="H12" s="283">
        <v>3155</v>
      </c>
      <c r="I12" s="283">
        <v>2278.25</v>
      </c>
      <c r="J12" s="283">
        <v>3525.74</v>
      </c>
      <c r="K12" s="283">
        <v>1909.18</v>
      </c>
      <c r="L12" s="283">
        <v>2957.24</v>
      </c>
      <c r="M12" s="283">
        <v>2353.46</v>
      </c>
      <c r="N12" s="283">
        <v>2762.96</v>
      </c>
      <c r="O12" s="283">
        <v>2645.92</v>
      </c>
      <c r="P12" s="283">
        <v>3198.14</v>
      </c>
      <c r="Q12" s="283">
        <v>2592.15</v>
      </c>
      <c r="R12" s="283">
        <v>2710.29</v>
      </c>
      <c r="S12" s="283">
        <v>3259.82</v>
      </c>
      <c r="T12" s="284">
        <f t="shared" si="0"/>
        <v>33348.15</v>
      </c>
      <c r="U12" s="285">
        <v>41401</v>
      </c>
      <c r="V12" s="286" t="s">
        <v>355</v>
      </c>
      <c r="W12" s="279" t="s">
        <v>841</v>
      </c>
      <c r="X12" s="287"/>
      <c r="Y12" s="287"/>
      <c r="Z12" s="287"/>
      <c r="AA12" s="287"/>
      <c r="AB12" s="287"/>
      <c r="AC12" s="288">
        <v>39916</v>
      </c>
      <c r="AD12" s="289">
        <v>39576</v>
      </c>
      <c r="AE12" s="278">
        <f ca="1">TODAY()-DATE(YEAR(AD12)+6,MONTH(AD12),DAY(AD12))</f>
        <v>2615</v>
      </c>
      <c r="AF12" s="280" t="s">
        <v>29</v>
      </c>
    </row>
    <row r="13" spans="1:32" s="279" customFormat="1" ht="30" customHeight="1" thickBot="1" x14ac:dyDescent="0.25">
      <c r="A13" s="280" t="s">
        <v>636</v>
      </c>
      <c r="B13" s="280" t="s">
        <v>507</v>
      </c>
      <c r="C13" s="280" t="s">
        <v>772</v>
      </c>
      <c r="D13" s="290" t="s">
        <v>637</v>
      </c>
      <c r="E13" s="290" t="s">
        <v>638</v>
      </c>
      <c r="F13" s="388">
        <v>26882.400000000001</v>
      </c>
      <c r="G13" s="291">
        <v>26882.400000000001</v>
      </c>
      <c r="H13" s="292">
        <v>2289.5700000000002</v>
      </c>
      <c r="I13" s="292">
        <v>2240.1999999999998</v>
      </c>
      <c r="J13" s="292">
        <v>2240.1999999999998</v>
      </c>
      <c r="K13" s="292">
        <v>2240.1999999999998</v>
      </c>
      <c r="L13" s="292">
        <v>2240.1999999999998</v>
      </c>
      <c r="M13" s="292">
        <v>2240.1999999999998</v>
      </c>
      <c r="N13" s="292">
        <v>2240.1999999999998</v>
      </c>
      <c r="O13" s="292">
        <v>2285.7600000000002</v>
      </c>
      <c r="P13" s="292">
        <v>2240.1999999999998</v>
      </c>
      <c r="Q13" s="292">
        <v>2240.1999999999998</v>
      </c>
      <c r="R13" s="292">
        <v>2240.1999999999998</v>
      </c>
      <c r="S13" s="292">
        <v>2240.1999999999998</v>
      </c>
      <c r="T13" s="284">
        <f t="shared" si="0"/>
        <v>26977.33</v>
      </c>
      <c r="U13" s="285">
        <v>40533</v>
      </c>
      <c r="V13" s="286" t="s">
        <v>804</v>
      </c>
      <c r="W13" s="298" t="s">
        <v>725</v>
      </c>
      <c r="X13" s="287"/>
      <c r="Y13" s="287"/>
      <c r="Z13" s="287"/>
      <c r="AA13" s="287"/>
      <c r="AB13" s="287"/>
      <c r="AC13" s="285">
        <v>40504</v>
      </c>
      <c r="AD13" s="294">
        <v>40169</v>
      </c>
      <c r="AE13" s="278">
        <f ca="1">TODAY()-DATE(YEAR(AD13)+6,MONTH(AD13),DAY(AD13))</f>
        <v>2022</v>
      </c>
      <c r="AF13" s="280" t="s">
        <v>41</v>
      </c>
    </row>
    <row r="14" spans="1:32" s="279" customFormat="1" ht="30" customHeight="1" thickBot="1" x14ac:dyDescent="0.25">
      <c r="A14" s="299" t="s">
        <v>318</v>
      </c>
      <c r="B14" s="299" t="s">
        <v>23</v>
      </c>
      <c r="C14" s="299" t="s">
        <v>56</v>
      </c>
      <c r="D14" s="301" t="s">
        <v>83</v>
      </c>
      <c r="E14" s="301" t="s">
        <v>319</v>
      </c>
      <c r="F14" s="387">
        <v>7200</v>
      </c>
      <c r="G14" s="302" t="s">
        <v>453</v>
      </c>
      <c r="H14" s="284">
        <v>0</v>
      </c>
      <c r="I14" s="284">
        <v>0</v>
      </c>
      <c r="J14" s="284">
        <v>0</v>
      </c>
      <c r="K14" s="284">
        <v>0</v>
      </c>
      <c r="L14" s="284">
        <v>0</v>
      </c>
      <c r="M14" s="284">
        <v>0</v>
      </c>
      <c r="N14" s="284">
        <v>0</v>
      </c>
      <c r="O14" s="284">
        <v>0</v>
      </c>
      <c r="P14" s="284">
        <v>0</v>
      </c>
      <c r="Q14" s="284">
        <v>0</v>
      </c>
      <c r="R14" s="284">
        <v>0</v>
      </c>
      <c r="S14" s="284">
        <v>0</v>
      </c>
      <c r="T14" s="284">
        <f t="shared" si="0"/>
        <v>0</v>
      </c>
      <c r="U14" s="303">
        <v>40544</v>
      </c>
      <c r="V14" s="304" t="s">
        <v>1002</v>
      </c>
      <c r="W14" s="315" t="s">
        <v>730</v>
      </c>
      <c r="X14" s="305"/>
      <c r="Y14" s="305"/>
      <c r="Z14" s="305"/>
      <c r="AA14" s="305"/>
      <c r="AB14" s="305"/>
      <c r="AC14" s="306">
        <v>40879</v>
      </c>
      <c r="AD14" s="307">
        <v>39480</v>
      </c>
      <c r="AE14" s="278">
        <f ca="1">TODAY()-DATE(YEAR(AD14)+6,MONTH(AD14),DAY(AD14))</f>
        <v>2710</v>
      </c>
      <c r="AF14" s="299" t="s">
        <v>48</v>
      </c>
    </row>
    <row r="15" spans="1:32" s="279" customFormat="1" ht="30" customHeight="1" thickBot="1" x14ac:dyDescent="0.25">
      <c r="A15" s="280" t="s">
        <v>797</v>
      </c>
      <c r="B15" s="286" t="s">
        <v>23</v>
      </c>
      <c r="C15" s="280" t="s">
        <v>56</v>
      </c>
      <c r="D15" s="281" t="s">
        <v>186</v>
      </c>
      <c r="E15" s="281" t="s">
        <v>798</v>
      </c>
      <c r="F15" s="392" t="s">
        <v>1019</v>
      </c>
      <c r="G15" s="282">
        <v>14600</v>
      </c>
      <c r="H15" s="283">
        <v>0</v>
      </c>
      <c r="I15" s="283">
        <v>14600</v>
      </c>
      <c r="J15" s="283">
        <v>0</v>
      </c>
      <c r="K15" s="283">
        <v>0</v>
      </c>
      <c r="L15" s="283">
        <v>0</v>
      </c>
      <c r="M15" s="283">
        <v>0</v>
      </c>
      <c r="N15" s="283">
        <v>0</v>
      </c>
      <c r="O15" s="283">
        <v>0</v>
      </c>
      <c r="P15" s="283">
        <v>0</v>
      </c>
      <c r="Q15" s="283">
        <v>0</v>
      </c>
      <c r="R15" s="283">
        <v>0</v>
      </c>
      <c r="S15" s="283">
        <v>0</v>
      </c>
      <c r="T15" s="284">
        <f t="shared" si="0"/>
        <v>14600</v>
      </c>
      <c r="U15" s="285">
        <v>40584</v>
      </c>
      <c r="V15" s="296" t="s">
        <v>814</v>
      </c>
      <c r="W15" s="298" t="s">
        <v>731</v>
      </c>
      <c r="X15" s="287"/>
      <c r="Y15" s="287"/>
      <c r="Z15" s="287"/>
      <c r="AA15" s="287"/>
      <c r="AB15" s="287"/>
      <c r="AC15" s="320"/>
      <c r="AD15" s="289">
        <v>40569</v>
      </c>
      <c r="AE15" s="297"/>
      <c r="AF15" s="280" t="s">
        <v>169</v>
      </c>
    </row>
    <row r="16" spans="1:32" s="279" customFormat="1" ht="30" customHeight="1" thickBot="1" x14ac:dyDescent="0.25">
      <c r="A16" s="280" t="s">
        <v>197</v>
      </c>
      <c r="B16" s="286" t="s">
        <v>23</v>
      </c>
      <c r="C16" s="280" t="s">
        <v>56</v>
      </c>
      <c r="D16" s="281" t="s">
        <v>198</v>
      </c>
      <c r="E16" s="281" t="s">
        <v>818</v>
      </c>
      <c r="F16" s="392" t="s">
        <v>1019</v>
      </c>
      <c r="G16" s="282">
        <v>2601.12</v>
      </c>
      <c r="H16" s="283">
        <v>216.76</v>
      </c>
      <c r="I16" s="283">
        <v>216.76</v>
      </c>
      <c r="J16" s="283">
        <v>216.76</v>
      </c>
      <c r="K16" s="283">
        <v>0</v>
      </c>
      <c r="L16" s="283">
        <v>0</v>
      </c>
      <c r="M16" s="283">
        <v>0</v>
      </c>
      <c r="N16" s="283">
        <v>0</v>
      </c>
      <c r="O16" s="283">
        <v>0</v>
      </c>
      <c r="P16" s="283">
        <v>0</v>
      </c>
      <c r="Q16" s="283">
        <v>0</v>
      </c>
      <c r="R16" s="283">
        <v>0</v>
      </c>
      <c r="S16" s="283">
        <v>0</v>
      </c>
      <c r="T16" s="284">
        <f t="shared" si="0"/>
        <v>650.28</v>
      </c>
      <c r="U16" s="285">
        <v>40602</v>
      </c>
      <c r="V16" s="296" t="s">
        <v>816</v>
      </c>
      <c r="W16" s="298" t="s">
        <v>735</v>
      </c>
      <c r="X16" s="287"/>
      <c r="Y16" s="287"/>
      <c r="Z16" s="287"/>
      <c r="AA16" s="287"/>
      <c r="AB16" s="287"/>
      <c r="AC16" s="289">
        <v>40512</v>
      </c>
      <c r="AD16" s="289">
        <v>38412</v>
      </c>
      <c r="AE16" s="297"/>
      <c r="AF16" s="280" t="s">
        <v>201</v>
      </c>
    </row>
    <row r="17" spans="1:32" s="279" customFormat="1" ht="30" customHeight="1" thickBot="1" x14ac:dyDescent="0.25">
      <c r="A17" s="280" t="s">
        <v>792</v>
      </c>
      <c r="B17" s="280" t="s">
        <v>793</v>
      </c>
      <c r="C17" s="280" t="s">
        <v>37</v>
      </c>
      <c r="D17" s="281" t="s">
        <v>794</v>
      </c>
      <c r="E17" s="281" t="s">
        <v>795</v>
      </c>
      <c r="F17" s="392" t="s">
        <v>1019</v>
      </c>
      <c r="G17" s="282">
        <v>75000</v>
      </c>
      <c r="H17" s="283">
        <v>0</v>
      </c>
      <c r="I17" s="283">
        <v>75000</v>
      </c>
      <c r="J17" s="283">
        <v>0</v>
      </c>
      <c r="K17" s="283">
        <v>0</v>
      </c>
      <c r="L17" s="283">
        <v>0</v>
      </c>
      <c r="M17" s="283">
        <v>0</v>
      </c>
      <c r="N17" s="283">
        <v>0</v>
      </c>
      <c r="O17" s="283">
        <v>0</v>
      </c>
      <c r="P17" s="283">
        <v>0</v>
      </c>
      <c r="Q17" s="283">
        <v>0</v>
      </c>
      <c r="R17" s="283">
        <v>0</v>
      </c>
      <c r="S17" s="283">
        <v>0</v>
      </c>
      <c r="T17" s="284">
        <f t="shared" si="0"/>
        <v>75000</v>
      </c>
      <c r="U17" s="285">
        <v>40614</v>
      </c>
      <c r="V17" s="296" t="s">
        <v>815</v>
      </c>
      <c r="W17" s="298" t="s">
        <v>796</v>
      </c>
      <c r="X17" s="287"/>
      <c r="Y17" s="287"/>
      <c r="Z17" s="287"/>
      <c r="AA17" s="287"/>
      <c r="AB17" s="287"/>
      <c r="AC17" s="320"/>
      <c r="AD17" s="289">
        <v>40575</v>
      </c>
      <c r="AE17" s="297"/>
      <c r="AF17" s="391" t="s">
        <v>201</v>
      </c>
    </row>
    <row r="18" spans="1:32" s="279" customFormat="1" ht="30" customHeight="1" thickBot="1" x14ac:dyDescent="0.25">
      <c r="A18" s="280" t="s">
        <v>811</v>
      </c>
      <c r="B18" s="286" t="s">
        <v>23</v>
      </c>
      <c r="C18" s="280" t="s">
        <v>24</v>
      </c>
      <c r="D18" s="281" t="s">
        <v>812</v>
      </c>
      <c r="E18" s="281" t="s">
        <v>813</v>
      </c>
      <c r="F18" s="392" t="s">
        <v>1019</v>
      </c>
      <c r="G18" s="282" t="s">
        <v>834</v>
      </c>
      <c r="H18" s="283">
        <v>0</v>
      </c>
      <c r="I18" s="283">
        <v>0</v>
      </c>
      <c r="J18" s="283">
        <v>0</v>
      </c>
      <c r="K18" s="283">
        <v>63931.8</v>
      </c>
      <c r="L18" s="283">
        <v>0</v>
      </c>
      <c r="M18" s="283">
        <v>0</v>
      </c>
      <c r="N18" s="283">
        <v>0</v>
      </c>
      <c r="O18" s="283">
        <v>0</v>
      </c>
      <c r="P18" s="283">
        <v>0</v>
      </c>
      <c r="Q18" s="283">
        <v>0</v>
      </c>
      <c r="R18" s="283">
        <v>0</v>
      </c>
      <c r="S18" s="283">
        <v>0</v>
      </c>
      <c r="T18" s="284">
        <f t="shared" si="0"/>
        <v>63931.8</v>
      </c>
      <c r="U18" s="285">
        <v>40645</v>
      </c>
      <c r="V18" s="296" t="s">
        <v>836</v>
      </c>
      <c r="W18" s="298" t="s">
        <v>887</v>
      </c>
      <c r="X18" s="287"/>
      <c r="Y18" s="287"/>
      <c r="Z18" s="287"/>
      <c r="AA18" s="287"/>
      <c r="AB18" s="287"/>
      <c r="AC18" s="320"/>
      <c r="AD18" s="289">
        <v>40606</v>
      </c>
      <c r="AE18" s="297"/>
      <c r="AF18" s="280" t="s">
        <v>201</v>
      </c>
    </row>
    <row r="19" spans="1:32" s="308" customFormat="1" ht="30" customHeight="1" thickBot="1" x14ac:dyDescent="0.25">
      <c r="A19" s="299" t="s">
        <v>593</v>
      </c>
      <c r="B19" s="300" t="s">
        <v>23</v>
      </c>
      <c r="C19" s="299" t="s">
        <v>56</v>
      </c>
      <c r="D19" s="301" t="s">
        <v>594</v>
      </c>
      <c r="E19" s="301" t="s">
        <v>595</v>
      </c>
      <c r="F19" s="387">
        <v>7200</v>
      </c>
      <c r="G19" s="302">
        <v>7200</v>
      </c>
      <c r="H19" s="284">
        <v>600</v>
      </c>
      <c r="I19" s="284">
        <v>600</v>
      </c>
      <c r="J19" s="284">
        <v>600</v>
      </c>
      <c r="K19" s="284">
        <v>600</v>
      </c>
      <c r="L19" s="284">
        <v>600</v>
      </c>
      <c r="M19" s="284">
        <v>600</v>
      </c>
      <c r="N19" s="284">
        <v>600</v>
      </c>
      <c r="O19" s="284">
        <v>600</v>
      </c>
      <c r="P19" s="284">
        <v>600</v>
      </c>
      <c r="Q19" s="284">
        <v>600</v>
      </c>
      <c r="R19" s="284">
        <v>600</v>
      </c>
      <c r="S19" s="284">
        <v>600</v>
      </c>
      <c r="T19" s="284">
        <f t="shared" si="0"/>
        <v>7200</v>
      </c>
      <c r="U19" s="303">
        <v>40688</v>
      </c>
      <c r="V19" s="304" t="s">
        <v>694</v>
      </c>
      <c r="W19" s="298" t="s">
        <v>740</v>
      </c>
      <c r="X19" s="305"/>
      <c r="Y19" s="305"/>
      <c r="Z19" s="305"/>
      <c r="AA19" s="305"/>
      <c r="AB19" s="305"/>
      <c r="AC19" s="306">
        <v>40658</v>
      </c>
      <c r="AD19" s="307">
        <v>39959</v>
      </c>
      <c r="AE19" s="278">
        <f ca="1">TODAY()-DATE(YEAR(AD19)+6,MONTH(AD19),DAY(AD19))</f>
        <v>2232</v>
      </c>
      <c r="AF19" s="299" t="s">
        <v>41</v>
      </c>
    </row>
    <row r="20" spans="1:32" s="311" customFormat="1" ht="30" customHeight="1" thickBot="1" x14ac:dyDescent="0.25">
      <c r="A20" s="299" t="s">
        <v>781</v>
      </c>
      <c r="B20" s="299" t="s">
        <v>790</v>
      </c>
      <c r="C20" s="299" t="s">
        <v>37</v>
      </c>
      <c r="D20" s="301" t="s">
        <v>782</v>
      </c>
      <c r="E20" s="301" t="s">
        <v>783</v>
      </c>
      <c r="F20" s="299" t="s">
        <v>992</v>
      </c>
      <c r="G20" s="302" t="s">
        <v>784</v>
      </c>
      <c r="H20" s="284">
        <v>0</v>
      </c>
      <c r="I20" s="284">
        <v>23085</v>
      </c>
      <c r="J20" s="284">
        <v>0</v>
      </c>
      <c r="K20" s="284">
        <v>0</v>
      </c>
      <c r="L20" s="284">
        <v>0</v>
      </c>
      <c r="M20" s="284">
        <v>0</v>
      </c>
      <c r="N20" s="284">
        <v>0</v>
      </c>
      <c r="O20" s="284">
        <v>0</v>
      </c>
      <c r="P20" s="284">
        <v>0</v>
      </c>
      <c r="Q20" s="284">
        <v>0</v>
      </c>
      <c r="R20" s="284">
        <v>0</v>
      </c>
      <c r="S20" s="284">
        <v>30780</v>
      </c>
      <c r="T20" s="284">
        <f t="shared" si="0"/>
        <v>53865</v>
      </c>
      <c r="U20" s="309">
        <v>40741</v>
      </c>
      <c r="V20" s="304" t="s">
        <v>785</v>
      </c>
      <c r="W20" s="310" t="s">
        <v>789</v>
      </c>
      <c r="X20" s="305"/>
      <c r="Y20" s="305"/>
      <c r="Z20" s="305"/>
      <c r="AA20" s="305"/>
      <c r="AB20" s="305"/>
      <c r="AC20" s="306">
        <v>40711</v>
      </c>
      <c r="AD20" s="307">
        <v>40561</v>
      </c>
      <c r="AE20" s="278">
        <f ca="1">TODAY()-DATE(YEAR(AD20)+6,MONTH(AD20),DAY(AD20))</f>
        <v>1629</v>
      </c>
      <c r="AF20" s="299" t="s">
        <v>41</v>
      </c>
    </row>
    <row r="21" spans="1:32" s="311" customFormat="1" ht="30" customHeight="1" thickBot="1" x14ac:dyDescent="0.25">
      <c r="A21" s="299" t="s">
        <v>805</v>
      </c>
      <c r="B21" s="299" t="s">
        <v>23</v>
      </c>
      <c r="C21" s="299" t="s">
        <v>56</v>
      </c>
      <c r="D21" s="312" t="s">
        <v>806</v>
      </c>
      <c r="E21" s="312" t="s">
        <v>808</v>
      </c>
      <c r="F21" s="299"/>
      <c r="G21" s="313" t="s">
        <v>807</v>
      </c>
      <c r="H21" s="314">
        <v>1237.8</v>
      </c>
      <c r="I21" s="314">
        <v>1180</v>
      </c>
      <c r="J21" s="314">
        <v>1189.2</v>
      </c>
      <c r="K21" s="314">
        <v>1119.2</v>
      </c>
      <c r="L21" s="314">
        <v>1180</v>
      </c>
      <c r="M21" s="314">
        <v>1180</v>
      </c>
      <c r="N21" s="314">
        <v>1177</v>
      </c>
      <c r="O21" s="314">
        <v>1356.4</v>
      </c>
      <c r="P21" s="314">
        <v>0</v>
      </c>
      <c r="Q21" s="314">
        <v>0</v>
      </c>
      <c r="R21" s="314">
        <v>0</v>
      </c>
      <c r="S21" s="314">
        <v>0</v>
      </c>
      <c r="T21" s="284">
        <f t="shared" si="0"/>
        <v>9619.6</v>
      </c>
      <c r="U21" s="303">
        <v>40756</v>
      </c>
      <c r="V21" s="299" t="s">
        <v>906</v>
      </c>
      <c r="W21" s="315" t="s">
        <v>809</v>
      </c>
      <c r="X21" s="305"/>
      <c r="Y21" s="305"/>
      <c r="Z21" s="305"/>
      <c r="AA21" s="305"/>
      <c r="AB21" s="305"/>
      <c r="AC21" s="303">
        <v>40725</v>
      </c>
      <c r="AD21" s="316">
        <v>40576</v>
      </c>
      <c r="AE21" s="278"/>
      <c r="AF21" s="299" t="s">
        <v>48</v>
      </c>
    </row>
    <row r="22" spans="1:32" s="311" customFormat="1" ht="30" customHeight="1" thickBot="1" x14ac:dyDescent="0.25">
      <c r="A22" s="299" t="s">
        <v>882</v>
      </c>
      <c r="B22" s="299" t="s">
        <v>23</v>
      </c>
      <c r="C22" s="299" t="s">
        <v>56</v>
      </c>
      <c r="D22" s="400" t="s">
        <v>883</v>
      </c>
      <c r="E22" s="301" t="s">
        <v>884</v>
      </c>
      <c r="F22" s="305"/>
      <c r="G22" s="302" t="s">
        <v>885</v>
      </c>
      <c r="H22" s="284">
        <v>0</v>
      </c>
      <c r="I22" s="284">
        <v>0</v>
      </c>
      <c r="J22" s="284">
        <v>0</v>
      </c>
      <c r="K22" s="284">
        <v>0</v>
      </c>
      <c r="L22" s="284">
        <v>0</v>
      </c>
      <c r="M22" s="284">
        <v>0</v>
      </c>
      <c r="N22" s="284">
        <v>0</v>
      </c>
      <c r="O22" s="284">
        <v>0</v>
      </c>
      <c r="P22" s="284">
        <v>9500</v>
      </c>
      <c r="Q22" s="284">
        <v>0</v>
      </c>
      <c r="R22" s="284">
        <v>0</v>
      </c>
      <c r="S22" s="284">
        <v>0</v>
      </c>
      <c r="T22" s="284">
        <f t="shared" si="0"/>
        <v>9500</v>
      </c>
      <c r="U22" s="303">
        <v>40772</v>
      </c>
      <c r="V22" s="317" t="s">
        <v>886</v>
      </c>
      <c r="W22" s="318" t="s">
        <v>889</v>
      </c>
      <c r="X22" s="305"/>
      <c r="Y22" s="305"/>
      <c r="Z22" s="305"/>
      <c r="AA22" s="305"/>
      <c r="AB22" s="305"/>
      <c r="AC22" s="320"/>
      <c r="AD22" s="307">
        <v>40758</v>
      </c>
      <c r="AE22" s="278"/>
      <c r="AF22" s="299" t="s">
        <v>169</v>
      </c>
    </row>
    <row r="23" spans="1:32" s="311" customFormat="1" ht="30" customHeight="1" thickBot="1" x14ac:dyDescent="0.25">
      <c r="A23" s="299" t="s">
        <v>377</v>
      </c>
      <c r="B23" s="299" t="s">
        <v>378</v>
      </c>
      <c r="C23" s="299" t="s">
        <v>613</v>
      </c>
      <c r="D23" s="400" t="s">
        <v>379</v>
      </c>
      <c r="E23" s="301" t="s">
        <v>380</v>
      </c>
      <c r="F23" s="387"/>
      <c r="G23" s="302" t="s">
        <v>381</v>
      </c>
      <c r="H23" s="284">
        <v>0</v>
      </c>
      <c r="I23" s="284">
        <v>0</v>
      </c>
      <c r="J23" s="284">
        <v>0</v>
      </c>
      <c r="K23" s="284">
        <v>0</v>
      </c>
      <c r="L23" s="284">
        <v>0</v>
      </c>
      <c r="M23" s="284">
        <v>0</v>
      </c>
      <c r="N23" s="284">
        <v>0</v>
      </c>
      <c r="O23" s="284">
        <v>0</v>
      </c>
      <c r="P23" s="284">
        <v>0</v>
      </c>
      <c r="Q23" s="284">
        <v>0</v>
      </c>
      <c r="R23" s="284">
        <v>0</v>
      </c>
      <c r="S23" s="284">
        <v>0</v>
      </c>
      <c r="T23" s="284">
        <f t="shared" si="0"/>
        <v>0</v>
      </c>
      <c r="U23" s="309">
        <v>40774</v>
      </c>
      <c r="V23" s="304" t="s">
        <v>946</v>
      </c>
      <c r="W23" s="315" t="s">
        <v>745</v>
      </c>
      <c r="X23" s="305"/>
      <c r="Y23" s="305"/>
      <c r="Z23" s="305"/>
      <c r="AA23" s="305"/>
      <c r="AB23" s="305"/>
      <c r="AC23" s="306">
        <v>40743</v>
      </c>
      <c r="AD23" s="307">
        <v>39680</v>
      </c>
      <c r="AE23" s="278">
        <f ca="1">TODAY()-DATE(YEAR(AD23)+6,MONTH(AD23),DAY(AD23))</f>
        <v>2511</v>
      </c>
      <c r="AF23" s="326" t="s">
        <v>41</v>
      </c>
    </row>
    <row r="24" spans="1:32" s="311" customFormat="1" ht="30" customHeight="1" thickBot="1" x14ac:dyDescent="0.25">
      <c r="A24" s="299" t="s">
        <v>868</v>
      </c>
      <c r="B24" s="299" t="s">
        <v>23</v>
      </c>
      <c r="C24" s="299" t="s">
        <v>56</v>
      </c>
      <c r="D24" s="401" t="s">
        <v>869</v>
      </c>
      <c r="E24" s="340" t="s">
        <v>870</v>
      </c>
      <c r="F24" s="299"/>
      <c r="G24" s="365">
        <v>12000</v>
      </c>
      <c r="H24" s="284">
        <v>0</v>
      </c>
      <c r="I24" s="284">
        <v>0</v>
      </c>
      <c r="J24" s="284">
        <v>0</v>
      </c>
      <c r="K24" s="284">
        <v>0</v>
      </c>
      <c r="L24" s="284">
        <v>0</v>
      </c>
      <c r="M24" s="284">
        <v>0</v>
      </c>
      <c r="N24" s="284">
        <v>0</v>
      </c>
      <c r="O24" s="284">
        <v>0</v>
      </c>
      <c r="P24" s="284">
        <v>12000</v>
      </c>
      <c r="Q24" s="284">
        <v>0</v>
      </c>
      <c r="R24" s="284">
        <v>0</v>
      </c>
      <c r="S24" s="284">
        <v>0</v>
      </c>
      <c r="T24" s="284">
        <f t="shared" si="0"/>
        <v>12000</v>
      </c>
      <c r="U24" s="303">
        <v>40795</v>
      </c>
      <c r="V24" s="304" t="s">
        <v>933</v>
      </c>
      <c r="W24" s="315" t="s">
        <v>871</v>
      </c>
      <c r="X24" s="305"/>
      <c r="Y24" s="305"/>
      <c r="Z24" s="305"/>
      <c r="AA24" s="305"/>
      <c r="AB24" s="305"/>
      <c r="AC24" s="320"/>
      <c r="AD24" s="307">
        <v>40793</v>
      </c>
      <c r="AE24" s="297"/>
      <c r="AF24" s="299" t="s">
        <v>179</v>
      </c>
    </row>
    <row r="25" spans="1:32" s="311" customFormat="1" ht="30" customHeight="1" thickBot="1" x14ac:dyDescent="0.25">
      <c r="A25" s="299" t="s">
        <v>899</v>
      </c>
      <c r="B25" s="299" t="s">
        <v>23</v>
      </c>
      <c r="C25" s="299" t="s">
        <v>56</v>
      </c>
      <c r="D25" s="301" t="s">
        <v>900</v>
      </c>
      <c r="E25" s="301" t="s">
        <v>901</v>
      </c>
      <c r="F25" s="387">
        <v>4500</v>
      </c>
      <c r="G25" s="302">
        <v>4500</v>
      </c>
      <c r="H25" s="284">
        <v>0</v>
      </c>
      <c r="I25" s="284">
        <v>0</v>
      </c>
      <c r="J25" s="284">
        <v>0</v>
      </c>
      <c r="K25" s="284">
        <v>0</v>
      </c>
      <c r="L25" s="284">
        <v>0</v>
      </c>
      <c r="M25" s="284">
        <v>0</v>
      </c>
      <c r="N25" s="284">
        <v>0</v>
      </c>
      <c r="O25" s="284">
        <v>0</v>
      </c>
      <c r="P25" s="284">
        <v>4500</v>
      </c>
      <c r="Q25" s="284">
        <v>0</v>
      </c>
      <c r="R25" s="284">
        <v>0</v>
      </c>
      <c r="S25" s="284">
        <v>0</v>
      </c>
      <c r="T25" s="284">
        <f t="shared" si="0"/>
        <v>4500</v>
      </c>
      <c r="U25" s="303">
        <v>40808</v>
      </c>
      <c r="V25" s="310" t="s">
        <v>907</v>
      </c>
      <c r="W25" s="310" t="s">
        <v>908</v>
      </c>
      <c r="X25" s="305"/>
      <c r="Y25" s="305"/>
      <c r="Z25" s="305"/>
      <c r="AA25" s="305"/>
      <c r="AB25" s="305"/>
      <c r="AC25" s="320"/>
      <c r="AD25" s="307">
        <v>40802</v>
      </c>
      <c r="AE25" s="297"/>
      <c r="AF25" s="299" t="s">
        <v>909</v>
      </c>
    </row>
    <row r="26" spans="1:32" s="311" customFormat="1" ht="30" customHeight="1" thickBot="1" x14ac:dyDescent="0.25">
      <c r="A26" s="299" t="s">
        <v>119</v>
      </c>
      <c r="B26" s="299" t="s">
        <v>23</v>
      </c>
      <c r="C26" s="299" t="s">
        <v>61</v>
      </c>
      <c r="D26" s="301" t="s">
        <v>268</v>
      </c>
      <c r="E26" s="301" t="s">
        <v>604</v>
      </c>
      <c r="F26" s="299"/>
      <c r="G26" s="302" t="s">
        <v>850</v>
      </c>
      <c r="H26" s="284">
        <v>17255.3</v>
      </c>
      <c r="I26" s="284">
        <v>17746.2</v>
      </c>
      <c r="J26" s="284">
        <v>18949.599999999999</v>
      </c>
      <c r="K26" s="284">
        <v>18444</v>
      </c>
      <c r="L26" s="284">
        <v>19045.169999999998</v>
      </c>
      <c r="M26" s="284">
        <v>19662.5</v>
      </c>
      <c r="N26" s="284">
        <v>20332.79</v>
      </c>
      <c r="O26" s="284">
        <v>21178.81</v>
      </c>
      <c r="P26" s="284">
        <v>18623</v>
      </c>
      <c r="Q26" s="352">
        <v>19895.71</v>
      </c>
      <c r="R26" s="353">
        <v>21482.1</v>
      </c>
      <c r="S26" s="389">
        <v>21482.1</v>
      </c>
      <c r="T26" s="284">
        <f t="shared" si="0"/>
        <v>234097.28</v>
      </c>
      <c r="U26" s="307">
        <v>40842</v>
      </c>
      <c r="V26" s="304" t="s">
        <v>1017</v>
      </c>
      <c r="W26" s="315" t="s">
        <v>751</v>
      </c>
      <c r="X26" s="305"/>
      <c r="Y26" s="305"/>
      <c r="Z26" s="305"/>
      <c r="AA26" s="305"/>
      <c r="AB26" s="305"/>
      <c r="AC26" s="306">
        <v>40812</v>
      </c>
      <c r="AD26" s="307">
        <v>38652</v>
      </c>
      <c r="AE26" s="278">
        <f ca="1">TODAY()-DATE(YEAR(AD26)+6,MONTH(AD26),DAY(AD26))</f>
        <v>3539</v>
      </c>
      <c r="AF26" s="299" t="s">
        <v>96</v>
      </c>
    </row>
    <row r="27" spans="1:32" s="311" customFormat="1" ht="30" customHeight="1" thickBot="1" x14ac:dyDescent="0.25">
      <c r="A27" s="299" t="s">
        <v>877</v>
      </c>
      <c r="B27" s="310" t="s">
        <v>23</v>
      </c>
      <c r="C27" s="299" t="s">
        <v>56</v>
      </c>
      <c r="D27" s="301" t="s">
        <v>881</v>
      </c>
      <c r="E27" s="301" t="s">
        <v>878</v>
      </c>
      <c r="F27" s="305"/>
      <c r="G27" s="302" t="s">
        <v>879</v>
      </c>
      <c r="H27" s="284">
        <v>0</v>
      </c>
      <c r="I27" s="284">
        <v>0</v>
      </c>
      <c r="J27" s="284">
        <v>0</v>
      </c>
      <c r="K27" s="284">
        <v>0</v>
      </c>
      <c r="L27" s="284">
        <v>0</v>
      </c>
      <c r="M27" s="284">
        <v>0</v>
      </c>
      <c r="N27" s="284">
        <v>0</v>
      </c>
      <c r="O27" s="284">
        <v>0</v>
      </c>
      <c r="P27" s="284">
        <v>0</v>
      </c>
      <c r="Q27" s="284">
        <v>3540</v>
      </c>
      <c r="R27" s="284">
        <v>0</v>
      </c>
      <c r="S27" s="284">
        <v>3540</v>
      </c>
      <c r="T27" s="284">
        <f t="shared" si="0"/>
        <v>7080</v>
      </c>
      <c r="U27" s="303">
        <v>40845</v>
      </c>
      <c r="V27" s="317" t="s">
        <v>880</v>
      </c>
      <c r="W27" s="318" t="s">
        <v>888</v>
      </c>
      <c r="X27" s="305"/>
      <c r="Y27" s="305"/>
      <c r="Z27" s="305"/>
      <c r="AA27" s="305"/>
      <c r="AB27" s="305"/>
      <c r="AC27" s="295"/>
      <c r="AD27" s="307">
        <v>40786</v>
      </c>
      <c r="AE27" s="356"/>
      <c r="AF27" s="326" t="s">
        <v>29</v>
      </c>
    </row>
    <row r="28" spans="1:32" s="311" customFormat="1" ht="30" customHeight="1" thickBot="1" x14ac:dyDescent="0.25">
      <c r="A28" s="299" t="s">
        <v>941</v>
      </c>
      <c r="B28" s="310" t="s">
        <v>23</v>
      </c>
      <c r="C28" s="299" t="s">
        <v>56</v>
      </c>
      <c r="D28" s="301" t="s">
        <v>942</v>
      </c>
      <c r="E28" s="349" t="s">
        <v>943</v>
      </c>
      <c r="F28" s="387">
        <v>15900</v>
      </c>
      <c r="G28" s="302">
        <v>15900</v>
      </c>
      <c r="H28" s="284">
        <v>0</v>
      </c>
      <c r="I28" s="284">
        <v>0</v>
      </c>
      <c r="J28" s="284">
        <v>0</v>
      </c>
      <c r="K28" s="284">
        <v>0</v>
      </c>
      <c r="L28" s="284">
        <v>0</v>
      </c>
      <c r="M28" s="284">
        <v>0</v>
      </c>
      <c r="N28" s="284">
        <v>0</v>
      </c>
      <c r="O28" s="284">
        <v>0</v>
      </c>
      <c r="P28" s="284">
        <v>0</v>
      </c>
      <c r="Q28" s="284">
        <v>0</v>
      </c>
      <c r="R28" s="284">
        <v>15900</v>
      </c>
      <c r="S28" s="284">
        <v>0</v>
      </c>
      <c r="T28" s="284">
        <f t="shared" si="0"/>
        <v>15900</v>
      </c>
      <c r="U28" s="303">
        <v>40891</v>
      </c>
      <c r="V28" s="351" t="s">
        <v>1001</v>
      </c>
      <c r="W28" s="310" t="s">
        <v>999</v>
      </c>
      <c r="X28" s="305"/>
      <c r="Y28" s="305"/>
      <c r="Z28" s="305"/>
      <c r="AA28" s="305"/>
      <c r="AB28" s="305"/>
      <c r="AC28" s="306"/>
      <c r="AD28" s="307">
        <v>40847</v>
      </c>
      <c r="AE28" s="278"/>
      <c r="AF28" s="326" t="s">
        <v>48</v>
      </c>
    </row>
    <row r="29" spans="1:32" s="311" customFormat="1" ht="30" customHeight="1" thickBot="1" x14ac:dyDescent="0.25">
      <c r="A29" s="299" t="s">
        <v>1023</v>
      </c>
      <c r="B29" s="310" t="s">
        <v>23</v>
      </c>
      <c r="C29" s="299" t="s">
        <v>56</v>
      </c>
      <c r="D29" s="301" t="s">
        <v>83</v>
      </c>
      <c r="E29" s="301" t="s">
        <v>994</v>
      </c>
      <c r="F29" s="299" t="s">
        <v>995</v>
      </c>
      <c r="G29" s="302" t="s">
        <v>995</v>
      </c>
      <c r="H29" s="284">
        <v>503.1</v>
      </c>
      <c r="I29" s="284">
        <v>451.5</v>
      </c>
      <c r="J29" s="284">
        <v>503.1</v>
      </c>
      <c r="K29" s="284">
        <v>464.4</v>
      </c>
      <c r="L29" s="284">
        <v>477.3</v>
      </c>
      <c r="M29" s="284">
        <v>460.1</v>
      </c>
      <c r="N29" s="284">
        <v>490.2</v>
      </c>
      <c r="O29" s="284">
        <v>593.4</v>
      </c>
      <c r="P29" s="284">
        <v>593.4</v>
      </c>
      <c r="Q29" s="284">
        <v>662.5</v>
      </c>
      <c r="R29" s="284">
        <v>537.5</v>
      </c>
      <c r="S29" s="284">
        <v>395.6</v>
      </c>
      <c r="T29" s="284">
        <f t="shared" si="0"/>
        <v>6132.1</v>
      </c>
      <c r="U29" s="303">
        <v>40910</v>
      </c>
      <c r="V29" s="304" t="s">
        <v>996</v>
      </c>
      <c r="W29" s="315" t="s">
        <v>730</v>
      </c>
      <c r="X29" s="305"/>
      <c r="Y29" s="305"/>
      <c r="Z29" s="305"/>
      <c r="AA29" s="305"/>
      <c r="AB29" s="305"/>
      <c r="AC29" s="306">
        <v>40879</v>
      </c>
      <c r="AD29" s="307">
        <v>40541</v>
      </c>
      <c r="AE29" s="278">
        <f ca="1">TODAY()-DATE(YEAR(AD29)+6,MONTH(AD29),DAY(AD29))</f>
        <v>1649</v>
      </c>
      <c r="AF29" s="299" t="s">
        <v>48</v>
      </c>
    </row>
    <row r="30" spans="1:32" s="311" customFormat="1" ht="30" customHeight="1" thickBot="1" x14ac:dyDescent="0.25">
      <c r="A30" s="299" t="s">
        <v>658</v>
      </c>
      <c r="B30" s="299" t="s">
        <v>23</v>
      </c>
      <c r="C30" s="299" t="s">
        <v>24</v>
      </c>
      <c r="D30" s="301" t="s">
        <v>171</v>
      </c>
      <c r="E30" s="301" t="s">
        <v>779</v>
      </c>
      <c r="F30" s="299" t="s">
        <v>659</v>
      </c>
      <c r="G30" s="302" t="s">
        <v>659</v>
      </c>
      <c r="H30" s="284">
        <v>4092.72</v>
      </c>
      <c r="I30" s="284">
        <v>3164.57</v>
      </c>
      <c r="J30" s="284">
        <v>3164.57</v>
      </c>
      <c r="K30" s="284">
        <v>3400.97</v>
      </c>
      <c r="L30" s="284">
        <v>3746.09</v>
      </c>
      <c r="M30" s="284">
        <v>2597.65</v>
      </c>
      <c r="N30" s="284">
        <v>4027.66</v>
      </c>
      <c r="O30" s="284">
        <v>3521.87</v>
      </c>
      <c r="P30" s="284">
        <v>3124.67</v>
      </c>
      <c r="Q30" s="284">
        <v>3627.09</v>
      </c>
      <c r="R30" s="284">
        <v>2907.35</v>
      </c>
      <c r="S30" s="284">
        <v>3044.08</v>
      </c>
      <c r="T30" s="284">
        <f t="shared" si="0"/>
        <v>40419.29</v>
      </c>
      <c r="U30" s="357">
        <v>40911</v>
      </c>
      <c r="V30" s="358" t="s">
        <v>778</v>
      </c>
      <c r="W30" s="315" t="s">
        <v>753</v>
      </c>
      <c r="X30" s="305"/>
      <c r="Y30" s="305"/>
      <c r="Z30" s="305"/>
      <c r="AA30" s="305"/>
      <c r="AB30" s="305"/>
      <c r="AC30" s="306"/>
      <c r="AD30" s="307">
        <v>40182</v>
      </c>
      <c r="AE30" s="278">
        <f ca="1">TODAY()-DATE(YEAR(AD30)+6,MONTH(AD30),DAY(AD30))</f>
        <v>2009</v>
      </c>
      <c r="AF30" s="299" t="s">
        <v>54</v>
      </c>
    </row>
    <row r="31" spans="1:32" s="311" customFormat="1" ht="30" customHeight="1" thickBot="1" x14ac:dyDescent="0.25">
      <c r="A31" s="299" t="s">
        <v>184</v>
      </c>
      <c r="B31" s="300" t="s">
        <v>185</v>
      </c>
      <c r="C31" s="299" t="s">
        <v>37</v>
      </c>
      <c r="D31" s="301" t="s">
        <v>186</v>
      </c>
      <c r="E31" s="301" t="s">
        <v>187</v>
      </c>
      <c r="F31" s="387">
        <v>70800</v>
      </c>
      <c r="G31" s="302">
        <f>7314.73*12</f>
        <v>87776.76</v>
      </c>
      <c r="H31" s="284">
        <v>6895.22</v>
      </c>
      <c r="I31" s="284">
        <v>6895.22</v>
      </c>
      <c r="J31" s="284">
        <v>6895.22</v>
      </c>
      <c r="K31" s="284">
        <v>6895.22</v>
      </c>
      <c r="L31" s="284">
        <v>8992.77</v>
      </c>
      <c r="M31" s="284">
        <v>7314.73</v>
      </c>
      <c r="N31" s="284">
        <v>7314.73</v>
      </c>
      <c r="O31" s="284">
        <v>7314.73</v>
      </c>
      <c r="P31" s="284">
        <v>7314.73</v>
      </c>
      <c r="Q31" s="284">
        <v>0</v>
      </c>
      <c r="R31" s="284">
        <f>7314.73*2</f>
        <v>14629.46</v>
      </c>
      <c r="S31" s="284">
        <v>7314.73</v>
      </c>
      <c r="T31" s="284">
        <f t="shared" si="0"/>
        <v>87776.76</v>
      </c>
      <c r="U31" s="303">
        <v>40923</v>
      </c>
      <c r="V31" s="304" t="s">
        <v>764</v>
      </c>
      <c r="W31" s="315" t="s">
        <v>731</v>
      </c>
      <c r="X31" s="305"/>
      <c r="Y31" s="305"/>
      <c r="Z31" s="305"/>
      <c r="AA31" s="305"/>
      <c r="AB31" s="305"/>
      <c r="AC31" s="306">
        <v>40835</v>
      </c>
      <c r="AD31" s="307">
        <v>38732</v>
      </c>
      <c r="AE31" s="278"/>
      <c r="AF31" s="299" t="s">
        <v>169</v>
      </c>
    </row>
    <row r="32" spans="1:32" s="311" customFormat="1" ht="30" customHeight="1" thickBot="1" x14ac:dyDescent="0.25">
      <c r="A32" s="299" t="s">
        <v>926</v>
      </c>
      <c r="B32" s="299" t="s">
        <v>23</v>
      </c>
      <c r="C32" s="299" t="s">
        <v>56</v>
      </c>
      <c r="D32" s="301" t="s">
        <v>927</v>
      </c>
      <c r="E32" s="349" t="s">
        <v>928</v>
      </c>
      <c r="F32" s="299" t="s">
        <v>929</v>
      </c>
      <c r="G32" s="302" t="s">
        <v>929</v>
      </c>
      <c r="H32" s="360">
        <v>0</v>
      </c>
      <c r="I32" s="360">
        <v>0</v>
      </c>
      <c r="J32" s="360">
        <v>0</v>
      </c>
      <c r="K32" s="360">
        <v>0</v>
      </c>
      <c r="L32" s="360">
        <v>0</v>
      </c>
      <c r="M32" s="360">
        <v>0</v>
      </c>
      <c r="N32" s="360">
        <v>0</v>
      </c>
      <c r="O32" s="360">
        <v>0</v>
      </c>
      <c r="P32" s="360">
        <v>0</v>
      </c>
      <c r="Q32" s="360">
        <v>0</v>
      </c>
      <c r="R32" s="360">
        <v>7100</v>
      </c>
      <c r="S32" s="360">
        <v>0</v>
      </c>
      <c r="T32" s="284">
        <f t="shared" si="0"/>
        <v>7100</v>
      </c>
      <c r="U32" s="303">
        <v>40924</v>
      </c>
      <c r="V32" s="359" t="s">
        <v>930</v>
      </c>
      <c r="W32" s="362" t="s">
        <v>1000</v>
      </c>
      <c r="X32" s="305"/>
      <c r="Y32" s="305"/>
      <c r="Z32" s="305"/>
      <c r="AA32" s="305"/>
      <c r="AB32" s="305"/>
      <c r="AC32" s="306"/>
      <c r="AD32" s="307">
        <v>40864</v>
      </c>
      <c r="AE32" s="363"/>
      <c r="AF32" s="326" t="s">
        <v>48</v>
      </c>
    </row>
    <row r="33" spans="1:32" s="311" customFormat="1" ht="30" customHeight="1" thickBot="1" x14ac:dyDescent="0.25">
      <c r="A33" s="299" t="s">
        <v>599</v>
      </c>
      <c r="B33" s="300" t="s">
        <v>600</v>
      </c>
      <c r="C33" s="299" t="s">
        <v>613</v>
      </c>
      <c r="D33" s="301" t="s">
        <v>695</v>
      </c>
      <c r="E33" s="301" t="s">
        <v>696</v>
      </c>
      <c r="F33" s="387">
        <v>260000</v>
      </c>
      <c r="G33" s="302">
        <v>309430.8</v>
      </c>
      <c r="H33" s="284">
        <v>24551.84</v>
      </c>
      <c r="I33" s="284">
        <v>24035.24</v>
      </c>
      <c r="J33" s="284">
        <v>25798.240000000002</v>
      </c>
      <c r="K33" s="284">
        <v>24035.24</v>
      </c>
      <c r="L33" s="284">
        <v>29392.799999999999</v>
      </c>
      <c r="M33" s="284">
        <v>27679.26</v>
      </c>
      <c r="N33" s="284">
        <v>28077.4</v>
      </c>
      <c r="O33" s="284">
        <v>28926.959999999999</v>
      </c>
      <c r="P33" s="284">
        <v>27301.03</v>
      </c>
      <c r="Q33" s="284">
        <v>27301.03</v>
      </c>
      <c r="R33" s="284">
        <v>27479.95</v>
      </c>
      <c r="S33" s="284">
        <v>27479.95</v>
      </c>
      <c r="T33" s="284">
        <f t="shared" si="0"/>
        <v>322058.94000000006</v>
      </c>
      <c r="U33" s="303">
        <v>40949</v>
      </c>
      <c r="V33" s="304" t="s">
        <v>843</v>
      </c>
      <c r="W33" s="315" t="s">
        <v>732</v>
      </c>
      <c r="X33" s="305"/>
      <c r="Y33" s="305"/>
      <c r="Z33" s="305"/>
      <c r="AA33" s="305"/>
      <c r="AB33" s="305"/>
      <c r="AC33" s="307"/>
      <c r="AD33" s="307">
        <v>40036</v>
      </c>
      <c r="AE33" s="278">
        <f ca="1">TODAY()-DATE(YEAR(AD33)+6,MONTH(AD33),DAY(AD33))</f>
        <v>2155</v>
      </c>
      <c r="AF33" s="299" t="s">
        <v>48</v>
      </c>
    </row>
    <row r="34" spans="1:32" s="311" customFormat="1" ht="30" customHeight="1" thickBot="1" x14ac:dyDescent="0.25">
      <c r="A34" s="299" t="s">
        <v>193</v>
      </c>
      <c r="B34" s="300" t="s">
        <v>23</v>
      </c>
      <c r="C34" s="299" t="s">
        <v>56</v>
      </c>
      <c r="D34" s="301" t="s">
        <v>194</v>
      </c>
      <c r="E34" s="301" t="s">
        <v>195</v>
      </c>
      <c r="F34" s="387">
        <v>15600</v>
      </c>
      <c r="G34" s="302">
        <v>15600</v>
      </c>
      <c r="H34" s="284">
        <v>1300</v>
      </c>
      <c r="I34" s="284">
        <v>1300</v>
      </c>
      <c r="J34" s="284">
        <v>1300</v>
      </c>
      <c r="K34" s="284">
        <v>1300</v>
      </c>
      <c r="L34" s="284">
        <f>1300+180</f>
        <v>1480</v>
      </c>
      <c r="M34" s="284">
        <v>1300</v>
      </c>
      <c r="N34" s="284">
        <v>1300</v>
      </c>
      <c r="O34" s="284">
        <v>1300</v>
      </c>
      <c r="P34" s="284">
        <v>1300</v>
      </c>
      <c r="Q34" s="284">
        <v>1300</v>
      </c>
      <c r="R34" s="284">
        <v>1275</v>
      </c>
      <c r="S34" s="284">
        <v>1275</v>
      </c>
      <c r="T34" s="284">
        <f t="shared" si="0"/>
        <v>15730</v>
      </c>
      <c r="U34" s="303">
        <v>40951</v>
      </c>
      <c r="V34" s="304" t="s">
        <v>780</v>
      </c>
      <c r="W34" s="315" t="s">
        <v>734</v>
      </c>
      <c r="X34" s="305"/>
      <c r="Y34" s="305"/>
      <c r="Z34" s="305"/>
      <c r="AA34" s="305"/>
      <c r="AB34" s="305"/>
      <c r="AC34" s="306"/>
      <c r="AD34" s="307">
        <v>39125</v>
      </c>
      <c r="AE34" s="278">
        <f ca="1">TODAY()-DATE(YEAR(AD34)+6,MONTH(AD34),DAY(AD34))</f>
        <v>3065</v>
      </c>
      <c r="AF34" s="299" t="s">
        <v>48</v>
      </c>
    </row>
    <row r="35" spans="1:32" s="311" customFormat="1" ht="30" customHeight="1" thickBot="1" x14ac:dyDescent="0.25">
      <c r="A35" s="299" t="s">
        <v>801</v>
      </c>
      <c r="B35" s="299" t="s">
        <v>23</v>
      </c>
      <c r="C35" s="299" t="s">
        <v>61</v>
      </c>
      <c r="D35" s="301" t="s">
        <v>176</v>
      </c>
      <c r="E35" s="301" t="s">
        <v>310</v>
      </c>
      <c r="F35" s="299" t="s">
        <v>802</v>
      </c>
      <c r="G35" s="302" t="s">
        <v>802</v>
      </c>
      <c r="H35" s="284">
        <v>0</v>
      </c>
      <c r="I35" s="284">
        <v>0</v>
      </c>
      <c r="J35" s="284">
        <v>0</v>
      </c>
      <c r="K35" s="284">
        <v>0</v>
      </c>
      <c r="L35" s="284">
        <v>0</v>
      </c>
      <c r="M35" s="284">
        <v>1650</v>
      </c>
      <c r="N35" s="284">
        <v>1020</v>
      </c>
      <c r="O35" s="284">
        <v>1050</v>
      </c>
      <c r="P35" s="284">
        <v>1050</v>
      </c>
      <c r="Q35" s="284">
        <v>1010</v>
      </c>
      <c r="R35" s="284">
        <v>0</v>
      </c>
      <c r="S35" s="284">
        <v>1050</v>
      </c>
      <c r="T35" s="284">
        <f t="shared" si="0"/>
        <v>6830</v>
      </c>
      <c r="U35" s="303">
        <v>40963</v>
      </c>
      <c r="V35" s="304" t="s">
        <v>803</v>
      </c>
      <c r="W35" s="315" t="s">
        <v>729</v>
      </c>
      <c r="X35" s="305"/>
      <c r="Y35" s="305"/>
      <c r="Z35" s="305"/>
      <c r="AA35" s="305"/>
      <c r="AB35" s="305"/>
      <c r="AC35" s="306"/>
      <c r="AD35" s="307">
        <v>40599</v>
      </c>
      <c r="AE35" s="278">
        <f ca="1">TODAY()-DATE(YEAR(AD35)+6,MONTH(AD35),DAY(AD35))</f>
        <v>1591</v>
      </c>
      <c r="AF35" s="299" t="s">
        <v>179</v>
      </c>
    </row>
    <row r="36" spans="1:32" s="311" customFormat="1" ht="30" customHeight="1" thickBot="1" x14ac:dyDescent="0.25">
      <c r="A36" s="299" t="s">
        <v>934</v>
      </c>
      <c r="B36" s="299" t="s">
        <v>23</v>
      </c>
      <c r="C36" s="299" t="s">
        <v>61</v>
      </c>
      <c r="D36" s="301" t="s">
        <v>935</v>
      </c>
      <c r="E36" s="349" t="s">
        <v>936</v>
      </c>
      <c r="F36" s="299" t="s">
        <v>937</v>
      </c>
      <c r="G36" s="302" t="s">
        <v>937</v>
      </c>
      <c r="H36" s="284">
        <v>0</v>
      </c>
      <c r="I36" s="284">
        <v>0</v>
      </c>
      <c r="J36" s="284">
        <v>0</v>
      </c>
      <c r="K36" s="284">
        <v>0</v>
      </c>
      <c r="L36" s="284">
        <v>0</v>
      </c>
      <c r="M36" s="284">
        <v>0</v>
      </c>
      <c r="N36" s="284">
        <v>0</v>
      </c>
      <c r="O36" s="284">
        <v>0</v>
      </c>
      <c r="P36" s="284"/>
      <c r="Q36" s="284"/>
      <c r="R36" s="284"/>
      <c r="S36" s="284"/>
      <c r="T36" s="284"/>
      <c r="U36" s="303">
        <v>40967</v>
      </c>
      <c r="V36" s="304" t="s">
        <v>940</v>
      </c>
      <c r="W36" s="315" t="s">
        <v>997</v>
      </c>
      <c r="X36" s="305"/>
      <c r="Y36" s="305"/>
      <c r="Z36" s="305"/>
      <c r="AA36" s="305"/>
      <c r="AB36" s="305"/>
      <c r="AC36" s="320"/>
      <c r="AD36" s="307">
        <v>40876</v>
      </c>
      <c r="AE36" s="278"/>
      <c r="AF36" s="326" t="s">
        <v>947</v>
      </c>
    </row>
    <row r="37" spans="1:32" s="311" customFormat="1" ht="30" customHeight="1" thickBot="1" x14ac:dyDescent="0.25">
      <c r="A37" s="299" t="s">
        <v>817</v>
      </c>
      <c r="B37" s="299" t="s">
        <v>23</v>
      </c>
      <c r="C37" s="299" t="s">
        <v>56</v>
      </c>
      <c r="D37" s="301" t="s">
        <v>198</v>
      </c>
      <c r="E37" s="301" t="s">
        <v>818</v>
      </c>
      <c r="F37" s="299">
        <v>2601.12</v>
      </c>
      <c r="G37" s="302">
        <v>2601.12</v>
      </c>
      <c r="H37" s="284">
        <v>0</v>
      </c>
      <c r="I37" s="284">
        <v>0</v>
      </c>
      <c r="J37" s="284">
        <v>465.5</v>
      </c>
      <c r="K37" s="284">
        <f>490+216.76</f>
        <v>706.76</v>
      </c>
      <c r="L37" s="284">
        <v>216.76</v>
      </c>
      <c r="M37" s="284">
        <v>216.76</v>
      </c>
      <c r="N37" s="284">
        <v>216.76</v>
      </c>
      <c r="O37" s="284">
        <f>216.76+510</f>
        <v>726.76</v>
      </c>
      <c r="P37" s="284">
        <v>216.76</v>
      </c>
      <c r="Q37" s="284">
        <v>216.76</v>
      </c>
      <c r="R37" s="284">
        <v>216.76</v>
      </c>
      <c r="S37" s="284">
        <v>216.76</v>
      </c>
      <c r="T37" s="284">
        <f t="shared" ref="T37:T69" si="1">SUM(H37:S37)</f>
        <v>3416.3400000000011</v>
      </c>
      <c r="U37" s="303">
        <v>40967</v>
      </c>
      <c r="V37" s="304" t="s">
        <v>819</v>
      </c>
      <c r="W37" s="315" t="s">
        <v>735</v>
      </c>
      <c r="X37" s="305"/>
      <c r="Y37" s="305"/>
      <c r="Z37" s="305"/>
      <c r="AA37" s="305"/>
      <c r="AB37" s="305"/>
      <c r="AC37" s="306"/>
      <c r="AD37" s="307">
        <v>40603</v>
      </c>
      <c r="AE37" s="278">
        <f ca="1">TODAY()-DATE(YEAR(AD37)+6,MONTH(AD37),DAY(AD37))</f>
        <v>1587</v>
      </c>
      <c r="AF37" s="299" t="s">
        <v>201</v>
      </c>
    </row>
    <row r="38" spans="1:32" s="311" customFormat="1" ht="30" customHeight="1" thickBot="1" x14ac:dyDescent="0.25">
      <c r="A38" s="326" t="s">
        <v>610</v>
      </c>
      <c r="B38" s="300" t="s">
        <v>23</v>
      </c>
      <c r="C38" s="299" t="s">
        <v>56</v>
      </c>
      <c r="D38" s="301" t="s">
        <v>607</v>
      </c>
      <c r="E38" s="301" t="s">
        <v>608</v>
      </c>
      <c r="F38" s="387">
        <v>15999.56</v>
      </c>
      <c r="G38" s="302">
        <v>17034.72</v>
      </c>
      <c r="H38" s="284">
        <v>1333.3</v>
      </c>
      <c r="I38" s="284">
        <v>1333.3</v>
      </c>
      <c r="J38" s="284">
        <v>0</v>
      </c>
      <c r="K38" s="284">
        <f>1420.39*2</f>
        <v>2840.78</v>
      </c>
      <c r="L38" s="284">
        <v>1419.58</v>
      </c>
      <c r="M38" s="284">
        <v>1419.58</v>
      </c>
      <c r="N38" s="284">
        <v>1419.58</v>
      </c>
      <c r="O38" s="284">
        <f>1419.58+380.95</f>
        <v>1800.53</v>
      </c>
      <c r="P38" s="284">
        <v>1419.58</v>
      </c>
      <c r="Q38" s="284">
        <v>1419.58</v>
      </c>
      <c r="R38" s="284">
        <v>1419.58</v>
      </c>
      <c r="S38" s="284">
        <v>1419.58</v>
      </c>
      <c r="T38" s="284">
        <f t="shared" si="1"/>
        <v>17244.97</v>
      </c>
      <c r="U38" s="303">
        <v>40977</v>
      </c>
      <c r="V38" s="304" t="s">
        <v>837</v>
      </c>
      <c r="W38" s="315" t="s">
        <v>736</v>
      </c>
      <c r="X38" s="305"/>
      <c r="Y38" s="305"/>
      <c r="Z38" s="305"/>
      <c r="AA38" s="305"/>
      <c r="AB38" s="305"/>
      <c r="AC38" s="306"/>
      <c r="AD38" s="307">
        <v>39882</v>
      </c>
      <c r="AE38" s="278">
        <f ca="1">TODAY()-DATE(YEAR(AD38)+6,MONTH(AD38),DAY(AD38))</f>
        <v>2309</v>
      </c>
      <c r="AF38" s="299" t="s">
        <v>96</v>
      </c>
    </row>
    <row r="39" spans="1:32" s="311" customFormat="1" ht="30" customHeight="1" thickBot="1" x14ac:dyDescent="0.25">
      <c r="A39" s="299" t="s">
        <v>511</v>
      </c>
      <c r="B39" s="299" t="s">
        <v>23</v>
      </c>
      <c r="C39" s="299" t="s">
        <v>56</v>
      </c>
      <c r="D39" s="301" t="s">
        <v>207</v>
      </c>
      <c r="E39" s="301" t="s">
        <v>208</v>
      </c>
      <c r="F39" s="387" t="s">
        <v>209</v>
      </c>
      <c r="G39" s="302" t="s">
        <v>209</v>
      </c>
      <c r="H39" s="284">
        <v>950</v>
      </c>
      <c r="I39" s="284">
        <v>522.5</v>
      </c>
      <c r="J39" s="284">
        <v>229.5</v>
      </c>
      <c r="K39" s="284">
        <v>583</v>
      </c>
      <c r="L39" s="284">
        <v>475</v>
      </c>
      <c r="M39" s="284">
        <v>745.5</v>
      </c>
      <c r="N39" s="284">
        <v>446</v>
      </c>
      <c r="O39" s="284">
        <v>866</v>
      </c>
      <c r="P39" s="284">
        <v>767</v>
      </c>
      <c r="Q39" s="284">
        <v>819.5</v>
      </c>
      <c r="R39" s="284">
        <v>524.5</v>
      </c>
      <c r="S39" s="284">
        <v>390</v>
      </c>
      <c r="T39" s="284">
        <f t="shared" si="1"/>
        <v>7318.5</v>
      </c>
      <c r="U39" s="303">
        <v>40984</v>
      </c>
      <c r="V39" s="304" t="s">
        <v>800</v>
      </c>
      <c r="W39" s="315" t="s">
        <v>737</v>
      </c>
      <c r="X39" s="305"/>
      <c r="Y39" s="305"/>
      <c r="Z39" s="305"/>
      <c r="AA39" s="305"/>
      <c r="AB39" s="305"/>
      <c r="AC39" s="306"/>
      <c r="AD39" s="307">
        <v>39889</v>
      </c>
      <c r="AE39" s="278">
        <f ca="1">TODAY()-DATE(YEAR(AD39)+6,MONTH(AD39),DAY(AD39))</f>
        <v>2302</v>
      </c>
      <c r="AF39" s="299" t="s">
        <v>48</v>
      </c>
    </row>
    <row r="40" spans="1:32" s="311" customFormat="1" ht="30" customHeight="1" thickBot="1" x14ac:dyDescent="0.25">
      <c r="A40" s="299" t="s">
        <v>894</v>
      </c>
      <c r="B40" s="299" t="s">
        <v>23</v>
      </c>
      <c r="C40" s="299" t="s">
        <v>56</v>
      </c>
      <c r="D40" s="301" t="s">
        <v>895</v>
      </c>
      <c r="E40" s="301" t="s">
        <v>896</v>
      </c>
      <c r="F40" s="299" t="s">
        <v>897</v>
      </c>
      <c r="G40" s="302" t="s">
        <v>897</v>
      </c>
      <c r="H40" s="284">
        <v>0</v>
      </c>
      <c r="I40" s="284">
        <v>0</v>
      </c>
      <c r="J40" s="284">
        <v>0</v>
      </c>
      <c r="K40" s="284">
        <v>0</v>
      </c>
      <c r="L40" s="284">
        <v>0</v>
      </c>
      <c r="M40" s="284">
        <v>0</v>
      </c>
      <c r="N40" s="284">
        <v>0</v>
      </c>
      <c r="O40" s="284">
        <v>0</v>
      </c>
      <c r="P40" s="284">
        <v>0</v>
      </c>
      <c r="Q40" s="284">
        <v>1116.96</v>
      </c>
      <c r="R40" s="284">
        <v>1402.15</v>
      </c>
      <c r="S40" s="284">
        <v>1439.72</v>
      </c>
      <c r="T40" s="284">
        <f t="shared" si="1"/>
        <v>3958.83</v>
      </c>
      <c r="U40" s="303">
        <v>40997</v>
      </c>
      <c r="V40" s="351" t="s">
        <v>944</v>
      </c>
      <c r="W40" s="310" t="s">
        <v>910</v>
      </c>
      <c r="X40" s="305"/>
      <c r="Y40" s="305"/>
      <c r="Z40" s="305"/>
      <c r="AA40" s="305"/>
      <c r="AB40" s="305"/>
      <c r="AC40" s="306"/>
      <c r="AD40" s="307">
        <v>40816</v>
      </c>
      <c r="AE40" s="278"/>
      <c r="AF40" s="299" t="s">
        <v>48</v>
      </c>
    </row>
    <row r="41" spans="1:32" s="311" customFormat="1" ht="30" customHeight="1" thickBot="1" x14ac:dyDescent="0.25">
      <c r="A41" s="299" t="s">
        <v>286</v>
      </c>
      <c r="B41" s="300" t="s">
        <v>251</v>
      </c>
      <c r="C41" s="299" t="s">
        <v>37</v>
      </c>
      <c r="D41" s="301" t="s">
        <v>287</v>
      </c>
      <c r="E41" s="301" t="s">
        <v>288</v>
      </c>
      <c r="F41" s="387" t="s">
        <v>375</v>
      </c>
      <c r="G41" s="302" t="s">
        <v>921</v>
      </c>
      <c r="H41" s="284">
        <v>0</v>
      </c>
      <c r="I41" s="284">
        <v>0</v>
      </c>
      <c r="J41" s="284">
        <v>0</v>
      </c>
      <c r="K41" s="284">
        <v>0</v>
      </c>
      <c r="L41" s="284">
        <v>0</v>
      </c>
      <c r="M41" s="284">
        <v>0</v>
      </c>
      <c r="N41" s="284">
        <v>0</v>
      </c>
      <c r="O41" s="284">
        <v>0</v>
      </c>
      <c r="P41" s="284">
        <v>0</v>
      </c>
      <c r="Q41" s="284">
        <v>0</v>
      </c>
      <c r="R41" s="284">
        <v>0</v>
      </c>
      <c r="S41" s="284">
        <v>0</v>
      </c>
      <c r="T41" s="284">
        <f t="shared" si="1"/>
        <v>0</v>
      </c>
      <c r="U41" s="309">
        <v>41004</v>
      </c>
      <c r="V41" s="304" t="s">
        <v>939</v>
      </c>
      <c r="W41" s="315" t="s">
        <v>723</v>
      </c>
      <c r="X41" s="305"/>
      <c r="Y41" s="305"/>
      <c r="Z41" s="305"/>
      <c r="AA41" s="305"/>
      <c r="AB41" s="305"/>
      <c r="AC41" s="306"/>
      <c r="AD41" s="307">
        <v>39300</v>
      </c>
      <c r="AE41" s="278">
        <f t="shared" ref="AE41:AE69" ca="1" si="2">TODAY()-DATE(YEAR(AD41)+6,MONTH(AD41),DAY(AD41))</f>
        <v>2890</v>
      </c>
      <c r="AF41" s="299" t="s">
        <v>649</v>
      </c>
    </row>
    <row r="42" spans="1:32" s="311" customFormat="1" ht="30" customHeight="1" thickBot="1" x14ac:dyDescent="0.25">
      <c r="A42" s="326" t="s">
        <v>845</v>
      </c>
      <c r="B42" s="299" t="s">
        <v>23</v>
      </c>
      <c r="C42" s="299" t="s">
        <v>56</v>
      </c>
      <c r="D42" s="301" t="s">
        <v>333</v>
      </c>
      <c r="E42" s="301" t="s">
        <v>846</v>
      </c>
      <c r="F42" s="387">
        <v>1200</v>
      </c>
      <c r="G42" s="302">
        <v>1200</v>
      </c>
      <c r="H42" s="284">
        <v>0</v>
      </c>
      <c r="I42" s="284">
        <v>0</v>
      </c>
      <c r="J42" s="284">
        <v>0</v>
      </c>
      <c r="K42" s="284">
        <v>0</v>
      </c>
      <c r="L42" s="284">
        <v>0</v>
      </c>
      <c r="M42" s="284">
        <v>1200</v>
      </c>
      <c r="N42" s="284">
        <v>0</v>
      </c>
      <c r="O42" s="284">
        <v>0</v>
      </c>
      <c r="P42" s="284">
        <v>0</v>
      </c>
      <c r="Q42" s="284">
        <v>0</v>
      </c>
      <c r="R42" s="284">
        <v>0</v>
      </c>
      <c r="S42" s="284">
        <v>0</v>
      </c>
      <c r="T42" s="284">
        <f t="shared" si="1"/>
        <v>1200</v>
      </c>
      <c r="U42" s="303">
        <v>41012</v>
      </c>
      <c r="V42" s="304" t="s">
        <v>847</v>
      </c>
      <c r="W42" s="315" t="s">
        <v>863</v>
      </c>
      <c r="X42" s="305"/>
      <c r="Y42" s="305"/>
      <c r="Z42" s="305"/>
      <c r="AA42" s="305"/>
      <c r="AB42" s="305"/>
      <c r="AC42" s="306"/>
      <c r="AD42" s="307">
        <v>40647</v>
      </c>
      <c r="AE42" s="278">
        <f t="shared" ca="1" si="2"/>
        <v>1543</v>
      </c>
      <c r="AF42" s="299" t="s">
        <v>41</v>
      </c>
    </row>
    <row r="43" spans="1:32" s="311" customFormat="1" ht="30" customHeight="1" thickBot="1" x14ac:dyDescent="0.25">
      <c r="A43" s="299" t="s">
        <v>583</v>
      </c>
      <c r="B43" s="299" t="s">
        <v>23</v>
      </c>
      <c r="C43" s="299" t="s">
        <v>61</v>
      </c>
      <c r="D43" s="301" t="s">
        <v>50</v>
      </c>
      <c r="E43" s="301" t="s">
        <v>51</v>
      </c>
      <c r="F43" s="387" t="s">
        <v>1006</v>
      </c>
      <c r="G43" s="302" t="s">
        <v>848</v>
      </c>
      <c r="H43" s="284">
        <v>740</v>
      </c>
      <c r="I43" s="284">
        <v>740</v>
      </c>
      <c r="J43" s="284">
        <v>740</v>
      </c>
      <c r="K43" s="284">
        <f>740+78</f>
        <v>818</v>
      </c>
      <c r="L43" s="284">
        <v>740</v>
      </c>
      <c r="M43" s="284">
        <v>740</v>
      </c>
      <c r="N43" s="284">
        <v>820.66</v>
      </c>
      <c r="O43" s="284">
        <v>820.66</v>
      </c>
      <c r="P43" s="284">
        <v>820.66</v>
      </c>
      <c r="Q43" s="284">
        <v>820.66</v>
      </c>
      <c r="R43" s="284">
        <v>820.66</v>
      </c>
      <c r="S43" s="284">
        <v>820.66</v>
      </c>
      <c r="T43" s="284">
        <f t="shared" si="1"/>
        <v>9441.9599999999991</v>
      </c>
      <c r="U43" s="303">
        <v>41021</v>
      </c>
      <c r="V43" s="304" t="s">
        <v>849</v>
      </c>
      <c r="W43" s="315" t="s">
        <v>738</v>
      </c>
      <c r="X43" s="305"/>
      <c r="Y43" s="305"/>
      <c r="Z43" s="305"/>
      <c r="AA43" s="305"/>
      <c r="AB43" s="305"/>
      <c r="AC43" s="306"/>
      <c r="AD43" s="307">
        <v>39926</v>
      </c>
      <c r="AE43" s="278">
        <f t="shared" ca="1" si="2"/>
        <v>2265</v>
      </c>
      <c r="AF43" s="299" t="s">
        <v>54</v>
      </c>
    </row>
    <row r="44" spans="1:32" s="311" customFormat="1" ht="30" customHeight="1" thickBot="1" x14ac:dyDescent="0.25">
      <c r="A44" s="348" t="s">
        <v>677</v>
      </c>
      <c r="B44" s="300" t="s">
        <v>678</v>
      </c>
      <c r="C44" s="299" t="s">
        <v>37</v>
      </c>
      <c r="D44" s="301" t="s">
        <v>38</v>
      </c>
      <c r="E44" s="301" t="s">
        <v>679</v>
      </c>
      <c r="F44" s="299" t="s">
        <v>1011</v>
      </c>
      <c r="G44" s="302">
        <v>79590</v>
      </c>
      <c r="H44" s="284">
        <v>6632.5</v>
      </c>
      <c r="I44" s="284">
        <v>6632.5</v>
      </c>
      <c r="J44" s="284">
        <v>6632.5</v>
      </c>
      <c r="K44" s="284">
        <v>6632.5</v>
      </c>
      <c r="L44" s="284">
        <v>6632.5</v>
      </c>
      <c r="M44" s="284">
        <v>6632.5</v>
      </c>
      <c r="N44" s="284">
        <v>6632.5</v>
      </c>
      <c r="O44" s="284">
        <v>6632.5</v>
      </c>
      <c r="P44" s="284">
        <v>6632.5</v>
      </c>
      <c r="Q44" s="284">
        <v>6632.5</v>
      </c>
      <c r="R44" s="284">
        <v>6632.5</v>
      </c>
      <c r="S44" s="284">
        <v>6632.5</v>
      </c>
      <c r="T44" s="284">
        <f t="shared" si="1"/>
        <v>79590</v>
      </c>
      <c r="U44" s="303">
        <v>41030</v>
      </c>
      <c r="V44" s="304" t="s">
        <v>844</v>
      </c>
      <c r="W44" s="315" t="s">
        <v>739</v>
      </c>
      <c r="X44" s="305"/>
      <c r="Y44" s="305"/>
      <c r="Z44" s="305"/>
      <c r="AA44" s="305"/>
      <c r="AB44" s="305"/>
      <c r="AC44" s="306"/>
      <c r="AD44" s="307">
        <v>40318</v>
      </c>
      <c r="AE44" s="278">
        <f t="shared" ca="1" si="2"/>
        <v>1872</v>
      </c>
      <c r="AF44" s="299" t="s">
        <v>41</v>
      </c>
    </row>
    <row r="45" spans="1:32" s="311" customFormat="1" ht="30" customHeight="1" thickBot="1" x14ac:dyDescent="0.25">
      <c r="A45" s="299" t="s">
        <v>682</v>
      </c>
      <c r="B45" s="299" t="s">
        <v>683</v>
      </c>
      <c r="C45" s="299" t="s">
        <v>37</v>
      </c>
      <c r="D45" s="301" t="s">
        <v>684</v>
      </c>
      <c r="E45" s="301" t="s">
        <v>685</v>
      </c>
      <c r="F45" s="387" t="s">
        <v>686</v>
      </c>
      <c r="G45" s="302" t="s">
        <v>686</v>
      </c>
      <c r="H45" s="284">
        <v>0</v>
      </c>
      <c r="I45" s="284">
        <f>4007.8+4016.5</f>
        <v>8024.3</v>
      </c>
      <c r="J45" s="284">
        <v>0</v>
      </c>
      <c r="K45" s="284">
        <v>3761.3</v>
      </c>
      <c r="L45" s="284">
        <v>0</v>
      </c>
      <c r="M45" s="284">
        <v>3410.4</v>
      </c>
      <c r="N45" s="284">
        <v>2450.5</v>
      </c>
      <c r="O45" s="284">
        <v>2398.3000000000002</v>
      </c>
      <c r="P45" s="284">
        <v>2366.4</v>
      </c>
      <c r="Q45" s="284">
        <v>2378</v>
      </c>
      <c r="R45" s="284">
        <v>2488.1999999999998</v>
      </c>
      <c r="S45" s="284">
        <v>2798.2</v>
      </c>
      <c r="T45" s="284">
        <f t="shared" si="1"/>
        <v>30075.600000000002</v>
      </c>
      <c r="U45" s="303">
        <v>41067</v>
      </c>
      <c r="V45" s="304" t="s">
        <v>854</v>
      </c>
      <c r="W45" s="315" t="s">
        <v>741</v>
      </c>
      <c r="X45" s="305"/>
      <c r="Y45" s="305"/>
      <c r="Z45" s="305"/>
      <c r="AA45" s="305"/>
      <c r="AB45" s="305"/>
      <c r="AC45" s="306"/>
      <c r="AD45" s="307">
        <v>40336</v>
      </c>
      <c r="AE45" s="278">
        <f t="shared" ca="1" si="2"/>
        <v>1854</v>
      </c>
      <c r="AF45" s="299">
        <v>1</v>
      </c>
    </row>
    <row r="46" spans="1:32" s="311" customFormat="1" ht="30" customHeight="1" thickBot="1" x14ac:dyDescent="0.25">
      <c r="A46" s="299" t="s">
        <v>589</v>
      </c>
      <c r="B46" s="299" t="s">
        <v>23</v>
      </c>
      <c r="C46" s="299" t="s">
        <v>56</v>
      </c>
      <c r="D46" s="301" t="s">
        <v>138</v>
      </c>
      <c r="E46" s="301" t="s">
        <v>591</v>
      </c>
      <c r="F46" s="387" t="s">
        <v>1007</v>
      </c>
      <c r="G46" s="302" t="s">
        <v>851</v>
      </c>
      <c r="H46" s="284">
        <v>553.67999999999995</v>
      </c>
      <c r="I46" s="284">
        <v>553.67999999999995</v>
      </c>
      <c r="J46" s="284">
        <v>553.67999999999995</v>
      </c>
      <c r="K46" s="284">
        <v>553.67999999999995</v>
      </c>
      <c r="L46" s="284">
        <v>553.67999999999995</v>
      </c>
      <c r="M46" s="284">
        <v>607.75</v>
      </c>
      <c r="N46" s="284">
        <v>607.75</v>
      </c>
      <c r="O46" s="284">
        <v>607.75</v>
      </c>
      <c r="P46" s="284">
        <v>607.75</v>
      </c>
      <c r="Q46" s="284">
        <v>607.75</v>
      </c>
      <c r="R46" s="284">
        <v>607.75</v>
      </c>
      <c r="S46" s="284">
        <v>607.75</v>
      </c>
      <c r="T46" s="284">
        <f t="shared" si="1"/>
        <v>7022.65</v>
      </c>
      <c r="U46" s="303">
        <v>41068</v>
      </c>
      <c r="V46" s="304" t="s">
        <v>852</v>
      </c>
      <c r="W46" s="315" t="s">
        <v>740</v>
      </c>
      <c r="X46" s="305"/>
      <c r="Y46" s="305"/>
      <c r="Z46" s="305"/>
      <c r="AA46" s="305"/>
      <c r="AB46" s="305"/>
      <c r="AC46" s="306"/>
      <c r="AD46" s="307">
        <v>39973</v>
      </c>
      <c r="AE46" s="278">
        <f t="shared" ca="1" si="2"/>
        <v>2218</v>
      </c>
      <c r="AF46" s="299" t="s">
        <v>48</v>
      </c>
    </row>
    <row r="47" spans="1:32" s="311" customFormat="1" ht="30" customHeight="1" thickBot="1" x14ac:dyDescent="0.25">
      <c r="A47" s="299" t="s">
        <v>579</v>
      </c>
      <c r="B47" s="300" t="s">
        <v>23</v>
      </c>
      <c r="C47" s="326" t="s">
        <v>56</v>
      </c>
      <c r="D47" s="301" t="s">
        <v>580</v>
      </c>
      <c r="E47" s="301" t="s">
        <v>581</v>
      </c>
      <c r="F47" s="387" t="s">
        <v>1008</v>
      </c>
      <c r="G47" s="302" t="s">
        <v>864</v>
      </c>
      <c r="H47" s="284">
        <v>170</v>
      </c>
      <c r="I47" s="284">
        <v>170</v>
      </c>
      <c r="J47" s="284">
        <v>170</v>
      </c>
      <c r="K47" s="284">
        <v>170</v>
      </c>
      <c r="L47" s="284">
        <v>170</v>
      </c>
      <c r="M47" s="284">
        <v>170</v>
      </c>
      <c r="N47" s="284">
        <v>180.95</v>
      </c>
      <c r="O47" s="284">
        <v>180.95</v>
      </c>
      <c r="P47" s="284">
        <v>180.95</v>
      </c>
      <c r="Q47" s="284">
        <v>180.95</v>
      </c>
      <c r="R47" s="284">
        <v>180.95</v>
      </c>
      <c r="S47" s="284">
        <v>180.95</v>
      </c>
      <c r="T47" s="284">
        <f t="shared" si="1"/>
        <v>2105.7000000000003</v>
      </c>
      <c r="U47" s="303">
        <v>41074</v>
      </c>
      <c r="V47" s="304" t="s">
        <v>865</v>
      </c>
      <c r="W47" s="315" t="s">
        <v>742</v>
      </c>
      <c r="X47" s="305"/>
      <c r="Y47" s="305"/>
      <c r="Z47" s="305"/>
      <c r="AA47" s="305"/>
      <c r="AB47" s="305"/>
      <c r="AC47" s="306"/>
      <c r="AD47" s="307">
        <v>39979</v>
      </c>
      <c r="AE47" s="278">
        <f t="shared" ca="1" si="2"/>
        <v>2212</v>
      </c>
      <c r="AF47" s="299" t="s">
        <v>48</v>
      </c>
    </row>
    <row r="48" spans="1:32" s="311" customFormat="1" ht="30" customHeight="1" thickBot="1" x14ac:dyDescent="0.25">
      <c r="A48" s="299" t="s">
        <v>360</v>
      </c>
      <c r="B48" s="300" t="s">
        <v>251</v>
      </c>
      <c r="C48" s="299" t="s">
        <v>61</v>
      </c>
      <c r="D48" s="301" t="s">
        <v>212</v>
      </c>
      <c r="E48" s="301" t="s">
        <v>361</v>
      </c>
      <c r="F48" s="387">
        <v>5940</v>
      </c>
      <c r="G48" s="302">
        <v>7040.16</v>
      </c>
      <c r="H48" s="284">
        <v>534.49</v>
      </c>
      <c r="I48" s="284">
        <v>534.49</v>
      </c>
      <c r="J48" s="284">
        <v>534.49</v>
      </c>
      <c r="K48" s="284">
        <v>534.49</v>
      </c>
      <c r="L48" s="284">
        <v>534.49</v>
      </c>
      <c r="M48" s="284">
        <v>534.49</v>
      </c>
      <c r="N48" s="284">
        <v>586.67999999999995</v>
      </c>
      <c r="O48" s="284">
        <v>586.67999999999995</v>
      </c>
      <c r="P48" s="284">
        <v>586.67999999999995</v>
      </c>
      <c r="Q48" s="284">
        <v>586.67999999999995</v>
      </c>
      <c r="R48" s="284">
        <v>586.67999999999995</v>
      </c>
      <c r="S48" s="284">
        <v>557.35</v>
      </c>
      <c r="T48" s="284">
        <f t="shared" si="1"/>
        <v>6697.6900000000005</v>
      </c>
      <c r="U48" s="303">
        <v>41078</v>
      </c>
      <c r="V48" s="304" t="s">
        <v>853</v>
      </c>
      <c r="W48" s="315" t="s">
        <v>726</v>
      </c>
      <c r="X48" s="305"/>
      <c r="Y48" s="305"/>
      <c r="Z48" s="305"/>
      <c r="AA48" s="305"/>
      <c r="AB48" s="305"/>
      <c r="AC48" s="306"/>
      <c r="AD48" s="307">
        <v>39617</v>
      </c>
      <c r="AE48" s="278">
        <f t="shared" ca="1" si="2"/>
        <v>2574</v>
      </c>
      <c r="AF48" s="299" t="s">
        <v>48</v>
      </c>
    </row>
    <row r="49" spans="1:32" s="311" customFormat="1" ht="30" customHeight="1" thickBot="1" x14ac:dyDescent="0.25">
      <c r="A49" s="299" t="s">
        <v>356</v>
      </c>
      <c r="B49" s="299" t="s">
        <v>23</v>
      </c>
      <c r="C49" s="299" t="s">
        <v>61</v>
      </c>
      <c r="D49" s="301" t="s">
        <v>62</v>
      </c>
      <c r="E49" s="301" t="s">
        <v>357</v>
      </c>
      <c r="F49" s="387">
        <v>8004.24</v>
      </c>
      <c r="G49" s="302">
        <v>8004.24</v>
      </c>
      <c r="H49" s="284">
        <v>667.02</v>
      </c>
      <c r="I49" s="284">
        <v>667.02</v>
      </c>
      <c r="J49" s="284">
        <v>667.02</v>
      </c>
      <c r="K49" s="284">
        <v>667.02</v>
      </c>
      <c r="L49" s="284">
        <v>667.02</v>
      </c>
      <c r="M49" s="284">
        <f>667.02+450</f>
        <v>1117.02</v>
      </c>
      <c r="N49" s="284">
        <v>667.02</v>
      </c>
      <c r="O49" s="284">
        <v>667.02</v>
      </c>
      <c r="P49" s="284">
        <v>667.02</v>
      </c>
      <c r="Q49" s="284">
        <v>667.02</v>
      </c>
      <c r="R49" s="284">
        <v>667.02</v>
      </c>
      <c r="S49" s="284">
        <v>667.02</v>
      </c>
      <c r="T49" s="284">
        <f t="shared" si="1"/>
        <v>8454.2400000000016</v>
      </c>
      <c r="U49" s="303">
        <v>41080</v>
      </c>
      <c r="V49" s="304" t="s">
        <v>853</v>
      </c>
      <c r="W49" s="315" t="s">
        <v>743</v>
      </c>
      <c r="X49" s="305"/>
      <c r="Y49" s="305"/>
      <c r="Z49" s="305"/>
      <c r="AA49" s="305"/>
      <c r="AB49" s="305"/>
      <c r="AC49" s="306"/>
      <c r="AD49" s="307">
        <v>39619</v>
      </c>
      <c r="AE49" s="278">
        <f t="shared" ca="1" si="2"/>
        <v>2572</v>
      </c>
      <c r="AF49" s="299" t="s">
        <v>48</v>
      </c>
    </row>
    <row r="50" spans="1:32" s="311" customFormat="1" ht="30" customHeight="1" thickBot="1" x14ac:dyDescent="0.25">
      <c r="A50" s="299" t="s">
        <v>363</v>
      </c>
      <c r="B50" s="399" t="s">
        <v>485</v>
      </c>
      <c r="C50" s="299" t="s">
        <v>37</v>
      </c>
      <c r="D50" s="301" t="s">
        <v>365</v>
      </c>
      <c r="E50" s="301" t="s">
        <v>366</v>
      </c>
      <c r="F50" s="387">
        <v>21600</v>
      </c>
      <c r="G50" s="302">
        <v>27203.040000000001</v>
      </c>
      <c r="H50" s="284">
        <v>2122.67</v>
      </c>
      <c r="I50" s="284">
        <v>0</v>
      </c>
      <c r="J50" s="284">
        <f>2122.67*2</f>
        <v>4245.34</v>
      </c>
      <c r="K50" s="284">
        <v>2122.67</v>
      </c>
      <c r="L50" s="284">
        <v>2122.67</v>
      </c>
      <c r="M50" s="284">
        <v>2122.67</v>
      </c>
      <c r="N50" s="284">
        <v>2122.67</v>
      </c>
      <c r="O50" s="284">
        <v>2266.92</v>
      </c>
      <c r="P50" s="284">
        <v>2266.92</v>
      </c>
      <c r="Q50" s="284">
        <v>2266.92</v>
      </c>
      <c r="R50" s="284">
        <v>2266.92</v>
      </c>
      <c r="S50" s="284">
        <v>2266.92</v>
      </c>
      <c r="T50" s="284">
        <f t="shared" si="1"/>
        <v>26193.289999999994</v>
      </c>
      <c r="U50" s="303">
        <v>41114</v>
      </c>
      <c r="V50" s="304" t="s">
        <v>866</v>
      </c>
      <c r="W50" s="315" t="s">
        <v>744</v>
      </c>
      <c r="X50" s="305"/>
      <c r="Y50" s="305"/>
      <c r="Z50" s="305"/>
      <c r="AA50" s="305"/>
      <c r="AB50" s="305"/>
      <c r="AC50" s="306"/>
      <c r="AD50" s="307">
        <v>39288</v>
      </c>
      <c r="AE50" s="278">
        <f t="shared" ca="1" si="2"/>
        <v>2902</v>
      </c>
      <c r="AF50" s="299" t="s">
        <v>96</v>
      </c>
    </row>
    <row r="51" spans="1:32" s="311" customFormat="1" ht="30" customHeight="1" thickBot="1" x14ac:dyDescent="0.25">
      <c r="A51" s="299" t="s">
        <v>1024</v>
      </c>
      <c r="B51" s="300" t="s">
        <v>585</v>
      </c>
      <c r="C51" s="299" t="s">
        <v>613</v>
      </c>
      <c r="D51" s="301" t="s">
        <v>586</v>
      </c>
      <c r="E51" s="301" t="s">
        <v>587</v>
      </c>
      <c r="F51" s="387" t="s">
        <v>1009</v>
      </c>
      <c r="G51" s="302" t="s">
        <v>925</v>
      </c>
      <c r="H51" s="284">
        <v>69136.63</v>
      </c>
      <c r="I51" s="284">
        <v>64873.93</v>
      </c>
      <c r="J51" s="284">
        <v>66548.95</v>
      </c>
      <c r="K51" s="284">
        <v>68205.820000000007</v>
      </c>
      <c r="L51" s="284">
        <v>68763.34</v>
      </c>
      <c r="M51" s="284">
        <v>74021.740000000005</v>
      </c>
      <c r="N51" s="284">
        <v>74283.58</v>
      </c>
      <c r="O51" s="284">
        <v>75219.58</v>
      </c>
      <c r="P51" s="284">
        <v>78771.839999999997</v>
      </c>
      <c r="Q51" s="284">
        <v>76064.94</v>
      </c>
      <c r="R51" s="284">
        <v>99018.34</v>
      </c>
      <c r="S51" s="284">
        <f>36963.42+83956.39</f>
        <v>120919.81</v>
      </c>
      <c r="T51" s="284">
        <f t="shared" si="1"/>
        <v>935828.5</v>
      </c>
      <c r="U51" s="303">
        <v>41132</v>
      </c>
      <c r="V51" s="304" t="s">
        <v>924</v>
      </c>
      <c r="W51" s="315" t="s">
        <v>733</v>
      </c>
      <c r="X51" s="305"/>
      <c r="Y51" s="305"/>
      <c r="Z51" s="305"/>
      <c r="AA51" s="305"/>
      <c r="AB51" s="305"/>
      <c r="AC51" s="306"/>
      <c r="AD51" s="307">
        <v>40037</v>
      </c>
      <c r="AE51" s="278">
        <f t="shared" ca="1" si="2"/>
        <v>2154</v>
      </c>
      <c r="AF51" s="299" t="s">
        <v>96</v>
      </c>
    </row>
    <row r="52" spans="1:32" s="377" customFormat="1" ht="30" customHeight="1" thickBot="1" x14ac:dyDescent="0.25">
      <c r="A52" s="299" t="s">
        <v>872</v>
      </c>
      <c r="B52" s="299" t="s">
        <v>23</v>
      </c>
      <c r="C52" s="299" t="s">
        <v>24</v>
      </c>
      <c r="D52" s="367" t="s">
        <v>873</v>
      </c>
      <c r="E52" s="367" t="s">
        <v>874</v>
      </c>
      <c r="F52" s="368" t="s">
        <v>875</v>
      </c>
      <c r="G52" s="369" t="s">
        <v>875</v>
      </c>
      <c r="H52" s="370">
        <v>2067.5</v>
      </c>
      <c r="I52" s="370">
        <v>2979.87</v>
      </c>
      <c r="J52" s="370">
        <v>3076.73</v>
      </c>
      <c r="K52" s="370">
        <v>2884.75</v>
      </c>
      <c r="L52" s="370">
        <v>2627.69</v>
      </c>
      <c r="M52" s="370">
        <v>2972.01</v>
      </c>
      <c r="N52" s="370">
        <v>3672.06</v>
      </c>
      <c r="O52" s="370">
        <v>3707.36</v>
      </c>
      <c r="P52" s="370">
        <v>4406.74</v>
      </c>
      <c r="Q52" s="370">
        <v>3691.24</v>
      </c>
      <c r="R52" s="370">
        <v>4209.9799999999996</v>
      </c>
      <c r="S52" s="370">
        <v>4785.8500000000004</v>
      </c>
      <c r="T52" s="370">
        <f t="shared" si="1"/>
        <v>41081.780000000006</v>
      </c>
      <c r="U52" s="372">
        <v>41146</v>
      </c>
      <c r="V52" s="373" t="s">
        <v>876</v>
      </c>
      <c r="W52" s="374" t="s">
        <v>840</v>
      </c>
      <c r="X52" s="368"/>
      <c r="Y52" s="368"/>
      <c r="Z52" s="368"/>
      <c r="AA52" s="368"/>
      <c r="AB52" s="368"/>
      <c r="AC52" s="375"/>
      <c r="AD52" s="375">
        <v>40781</v>
      </c>
      <c r="AE52" s="376">
        <f t="shared" ca="1" si="2"/>
        <v>1409</v>
      </c>
      <c r="AF52" s="366" t="s">
        <v>34</v>
      </c>
    </row>
    <row r="53" spans="1:32" s="311" customFormat="1" ht="30" customHeight="1" thickBot="1" x14ac:dyDescent="0.25">
      <c r="A53" s="299" t="s">
        <v>488</v>
      </c>
      <c r="B53" s="299" t="s">
        <v>489</v>
      </c>
      <c r="C53" s="299" t="s">
        <v>613</v>
      </c>
      <c r="D53" s="301" t="s">
        <v>44</v>
      </c>
      <c r="E53" s="301" t="s">
        <v>653</v>
      </c>
      <c r="F53" s="387">
        <v>127800</v>
      </c>
      <c r="G53" s="302">
        <v>170814</v>
      </c>
      <c r="H53" s="284">
        <v>13097.12</v>
      </c>
      <c r="I53" s="284">
        <v>13460.88</v>
      </c>
      <c r="J53" s="284">
        <v>12609.6</v>
      </c>
      <c r="K53" s="284">
        <v>12439.58</v>
      </c>
      <c r="L53" s="284">
        <v>14215.22</v>
      </c>
      <c r="M53" s="284">
        <v>13696.72</v>
      </c>
      <c r="N53" s="284">
        <v>13367.6</v>
      </c>
      <c r="O53" s="284">
        <v>13578.8</v>
      </c>
      <c r="P53" s="284">
        <v>12469.28</v>
      </c>
      <c r="Q53" s="284">
        <v>12448.16</v>
      </c>
      <c r="R53" s="284">
        <v>12500.96</v>
      </c>
      <c r="S53" s="284">
        <v>14610.88</v>
      </c>
      <c r="T53" s="284">
        <f t="shared" si="1"/>
        <v>158494.79999999999</v>
      </c>
      <c r="U53" s="303">
        <v>41154</v>
      </c>
      <c r="V53" s="304" t="s">
        <v>974</v>
      </c>
      <c r="W53" s="315" t="s">
        <v>746</v>
      </c>
      <c r="X53" s="305"/>
      <c r="Y53" s="305"/>
      <c r="Z53" s="305"/>
      <c r="AA53" s="305"/>
      <c r="AB53" s="305"/>
      <c r="AC53" s="306">
        <v>40757</v>
      </c>
      <c r="AD53" s="307">
        <v>39328</v>
      </c>
      <c r="AE53" s="278">
        <f t="shared" ca="1" si="2"/>
        <v>2862</v>
      </c>
      <c r="AF53" s="299" t="s">
        <v>48</v>
      </c>
    </row>
    <row r="54" spans="1:32" s="311" customFormat="1" ht="30" customHeight="1" thickBot="1" x14ac:dyDescent="0.25">
      <c r="A54" s="299" t="s">
        <v>259</v>
      </c>
      <c r="B54" s="299" t="s">
        <v>23</v>
      </c>
      <c r="C54" s="299" t="s">
        <v>24</v>
      </c>
      <c r="D54" s="301" t="s">
        <v>260</v>
      </c>
      <c r="E54" s="301" t="s">
        <v>656</v>
      </c>
      <c r="F54" s="387" t="s">
        <v>263</v>
      </c>
      <c r="G54" s="302" t="s">
        <v>842</v>
      </c>
      <c r="H54" s="284">
        <v>0</v>
      </c>
      <c r="I54" s="284">
        <f>184.6+5527.7</f>
        <v>5712.3</v>
      </c>
      <c r="J54" s="284">
        <f>5576.64+95.21+79.83+10+5696.71</f>
        <v>11458.39</v>
      </c>
      <c r="K54" s="284">
        <f>4870.48+24.48</f>
        <v>4894.9599999999991</v>
      </c>
      <c r="L54" s="284">
        <f>13.61+5545.01+706.49</f>
        <v>6265.11</v>
      </c>
      <c r="M54" s="284">
        <f>71.83+26+6919.61</f>
        <v>7017.44</v>
      </c>
      <c r="N54" s="284">
        <f>5847.49+631.98</f>
        <v>6479.4699999999993</v>
      </c>
      <c r="O54" s="284">
        <f>55.34+7157.06</f>
        <v>7212.4000000000005</v>
      </c>
      <c r="P54" s="284">
        <f>9253.57+82.62</f>
        <v>9336.19</v>
      </c>
      <c r="Q54" s="284">
        <f>7388.38+47.49</f>
        <v>7435.87</v>
      </c>
      <c r="R54" s="284">
        <f>8090.18+5.17</f>
        <v>8095.35</v>
      </c>
      <c r="S54" s="284">
        <v>9881.4500000000007</v>
      </c>
      <c r="T54" s="284">
        <f t="shared" si="1"/>
        <v>83788.930000000008</v>
      </c>
      <c r="U54" s="309">
        <v>41182</v>
      </c>
      <c r="V54" s="304" t="s">
        <v>949</v>
      </c>
      <c r="W54" s="310" t="s">
        <v>841</v>
      </c>
      <c r="X54" s="305"/>
      <c r="Y54" s="305"/>
      <c r="Z54" s="305"/>
      <c r="AA54" s="305"/>
      <c r="AB54" s="305"/>
      <c r="AC54" s="306"/>
      <c r="AD54" s="307">
        <v>39356</v>
      </c>
      <c r="AE54" s="278">
        <f t="shared" ca="1" si="2"/>
        <v>2834</v>
      </c>
      <c r="AF54" s="299" t="s">
        <v>34</v>
      </c>
    </row>
    <row r="55" spans="1:32" s="311" customFormat="1" ht="30" customHeight="1" thickBot="1" x14ac:dyDescent="0.25">
      <c r="A55" s="321" t="s">
        <v>515</v>
      </c>
      <c r="B55" s="299" t="s">
        <v>23</v>
      </c>
      <c r="C55" s="299" t="s">
        <v>56</v>
      </c>
      <c r="D55" s="301" t="s">
        <v>516</v>
      </c>
      <c r="E55" s="301" t="s">
        <v>517</v>
      </c>
      <c r="F55" s="387"/>
      <c r="G55" s="302">
        <v>18210.36</v>
      </c>
      <c r="H55" s="284">
        <v>1266.47</v>
      </c>
      <c r="I55" s="284">
        <v>1266.47</v>
      </c>
      <c r="J55" s="284">
        <v>1266.47</v>
      </c>
      <c r="K55" s="284">
        <v>1635.71</v>
      </c>
      <c r="L55" s="284">
        <v>1240.8800000000001</v>
      </c>
      <c r="M55" s="284">
        <v>1240.8800000000001</v>
      </c>
      <c r="N55" s="284">
        <v>1292.05</v>
      </c>
      <c r="O55" s="284">
        <v>0</v>
      </c>
      <c r="P55" s="284">
        <f>1317.64+1356.01</f>
        <v>2673.65</v>
      </c>
      <c r="Q55" s="284">
        <v>1417.18</v>
      </c>
      <c r="R55" s="284">
        <v>1517.53</v>
      </c>
      <c r="S55" s="284">
        <v>1503.86</v>
      </c>
      <c r="T55" s="284">
        <f t="shared" si="1"/>
        <v>16321.150000000001</v>
      </c>
      <c r="U55" s="309">
        <v>41182</v>
      </c>
      <c r="V55" s="304" t="s">
        <v>987</v>
      </c>
      <c r="W55" s="315" t="s">
        <v>747</v>
      </c>
      <c r="X55" s="305"/>
      <c r="Y55" s="305"/>
      <c r="Z55" s="305"/>
      <c r="AA55" s="305"/>
      <c r="AB55" s="305"/>
      <c r="AC55" s="306">
        <v>40786</v>
      </c>
      <c r="AD55" s="307">
        <v>39722</v>
      </c>
      <c r="AE55" s="278">
        <f t="shared" ca="1" si="2"/>
        <v>2469</v>
      </c>
      <c r="AF55" s="299" t="s">
        <v>96</v>
      </c>
    </row>
    <row r="56" spans="1:32" s="311" customFormat="1" ht="30" customHeight="1" thickBot="1" x14ac:dyDescent="0.25">
      <c r="A56" s="299" t="s">
        <v>616</v>
      </c>
      <c r="B56" s="299" t="s">
        <v>600</v>
      </c>
      <c r="C56" s="299" t="s">
        <v>617</v>
      </c>
      <c r="D56" s="301" t="s">
        <v>618</v>
      </c>
      <c r="E56" s="301" t="s">
        <v>654</v>
      </c>
      <c r="F56" s="387" t="s">
        <v>1010</v>
      </c>
      <c r="G56" s="302" t="s">
        <v>655</v>
      </c>
      <c r="H56" s="284">
        <v>1325</v>
      </c>
      <c r="I56" s="284">
        <v>1325</v>
      </c>
      <c r="J56" s="284">
        <v>1325</v>
      </c>
      <c r="K56" s="284">
        <v>1325</v>
      </c>
      <c r="L56" s="284">
        <v>1844.79</v>
      </c>
      <c r="M56" s="284">
        <v>1325</v>
      </c>
      <c r="N56" s="284">
        <v>1403</v>
      </c>
      <c r="O56" s="284">
        <v>1996.38</v>
      </c>
      <c r="P56" s="284">
        <v>1996.38</v>
      </c>
      <c r="Q56" s="284">
        <v>1996.38</v>
      </c>
      <c r="R56" s="284">
        <v>2058.4299999999998</v>
      </c>
      <c r="S56" s="284">
        <v>1803.65</v>
      </c>
      <c r="T56" s="284">
        <f t="shared" si="1"/>
        <v>19724.010000000006</v>
      </c>
      <c r="U56" s="309">
        <v>41191</v>
      </c>
      <c r="V56" s="304" t="s">
        <v>914</v>
      </c>
      <c r="W56" s="315" t="s">
        <v>748</v>
      </c>
      <c r="X56" s="305"/>
      <c r="Y56" s="305"/>
      <c r="Z56" s="305"/>
      <c r="AA56" s="305"/>
      <c r="AB56" s="305"/>
      <c r="AC56" s="306"/>
      <c r="AD56" s="307">
        <v>40095</v>
      </c>
      <c r="AE56" s="278">
        <f t="shared" ca="1" si="2"/>
        <v>2096</v>
      </c>
      <c r="AF56" s="299" t="s">
        <v>48</v>
      </c>
    </row>
    <row r="57" spans="1:32" s="311" customFormat="1" ht="30" customHeight="1" thickBot="1" x14ac:dyDescent="0.25">
      <c r="A57" s="299" t="s">
        <v>215</v>
      </c>
      <c r="B57" s="299" t="s">
        <v>23</v>
      </c>
      <c r="C57" s="299" t="s">
        <v>24</v>
      </c>
      <c r="D57" s="301" t="s">
        <v>216</v>
      </c>
      <c r="E57" s="301" t="s">
        <v>217</v>
      </c>
      <c r="F57" s="387" t="s">
        <v>375</v>
      </c>
      <c r="G57" s="302" t="s">
        <v>375</v>
      </c>
      <c r="H57" s="284">
        <v>0</v>
      </c>
      <c r="I57" s="284">
        <v>0</v>
      </c>
      <c r="J57" s="284">
        <v>0</v>
      </c>
      <c r="K57" s="284">
        <v>0</v>
      </c>
      <c r="L57" s="284">
        <v>0</v>
      </c>
      <c r="M57" s="284">
        <v>0</v>
      </c>
      <c r="N57" s="284">
        <v>0</v>
      </c>
      <c r="O57" s="284">
        <v>0</v>
      </c>
      <c r="P57" s="284">
        <v>1456</v>
      </c>
      <c r="Q57" s="284">
        <v>0</v>
      </c>
      <c r="R57" s="284">
        <v>0</v>
      </c>
      <c r="S57" s="284">
        <v>0</v>
      </c>
      <c r="T57" s="284">
        <f t="shared" si="1"/>
        <v>1456</v>
      </c>
      <c r="U57" s="303">
        <v>41198</v>
      </c>
      <c r="V57" s="304" t="s">
        <v>561</v>
      </c>
      <c r="W57" s="315" t="s">
        <v>757</v>
      </c>
      <c r="X57" s="305"/>
      <c r="Y57" s="305"/>
      <c r="Z57" s="305"/>
      <c r="AA57" s="305"/>
      <c r="AB57" s="305"/>
      <c r="AC57" s="306"/>
      <c r="AD57" s="307">
        <v>39737</v>
      </c>
      <c r="AE57" s="278">
        <f t="shared" ca="1" si="2"/>
        <v>2454</v>
      </c>
      <c r="AF57" s="299" t="s">
        <v>169</v>
      </c>
    </row>
    <row r="58" spans="1:32" s="311" customFormat="1" ht="30" customHeight="1" thickBot="1" x14ac:dyDescent="0.25">
      <c r="A58" s="299" t="s">
        <v>711</v>
      </c>
      <c r="B58" s="326" t="s">
        <v>23</v>
      </c>
      <c r="C58" s="326" t="s">
        <v>61</v>
      </c>
      <c r="D58" s="301" t="s">
        <v>98</v>
      </c>
      <c r="E58" s="301" t="s">
        <v>712</v>
      </c>
      <c r="F58" s="299" t="s">
        <v>1012</v>
      </c>
      <c r="G58" s="302" t="s">
        <v>713</v>
      </c>
      <c r="H58" s="284">
        <v>461.8</v>
      </c>
      <c r="I58" s="284">
        <v>788.95</v>
      </c>
      <c r="J58" s="284">
        <v>355.9</v>
      </c>
      <c r="K58" s="284">
        <v>137.5</v>
      </c>
      <c r="L58" s="284">
        <v>431.5</v>
      </c>
      <c r="M58" s="284">
        <v>550.04</v>
      </c>
      <c r="N58" s="284">
        <v>183.7</v>
      </c>
      <c r="O58" s="284">
        <v>333.9</v>
      </c>
      <c r="P58" s="284">
        <v>108.8</v>
      </c>
      <c r="Q58" s="284">
        <v>1150.3499999999999</v>
      </c>
      <c r="R58" s="284">
        <v>166.4</v>
      </c>
      <c r="S58" s="284">
        <v>50.5</v>
      </c>
      <c r="T58" s="284">
        <f t="shared" si="1"/>
        <v>4719.34</v>
      </c>
      <c r="U58" s="303">
        <v>41204</v>
      </c>
      <c r="V58" s="304" t="s">
        <v>913</v>
      </c>
      <c r="W58" s="315" t="s">
        <v>749</v>
      </c>
      <c r="X58" s="305"/>
      <c r="Y58" s="305"/>
      <c r="Z58" s="305"/>
      <c r="AA58" s="305"/>
      <c r="AB58" s="305"/>
      <c r="AC58" s="306"/>
      <c r="AD58" s="307">
        <v>40473</v>
      </c>
      <c r="AE58" s="278">
        <f t="shared" ca="1" si="2"/>
        <v>1717</v>
      </c>
      <c r="AF58" s="299" t="s">
        <v>48</v>
      </c>
    </row>
    <row r="59" spans="1:32" s="311" customFormat="1" ht="30" customHeight="1" thickBot="1" x14ac:dyDescent="0.25">
      <c r="A59" s="321" t="s">
        <v>115</v>
      </c>
      <c r="B59" s="299" t="s">
        <v>23</v>
      </c>
      <c r="C59" s="299" t="s">
        <v>56</v>
      </c>
      <c r="D59" s="301" t="s">
        <v>116</v>
      </c>
      <c r="E59" s="301" t="s">
        <v>117</v>
      </c>
      <c r="F59" s="387">
        <v>6340.6</v>
      </c>
      <c r="G59" s="323">
        <v>5924.8</v>
      </c>
      <c r="H59" s="284">
        <v>422.4</v>
      </c>
      <c r="I59" s="284">
        <v>424.8</v>
      </c>
      <c r="J59" s="284">
        <v>414</v>
      </c>
      <c r="K59" s="284">
        <v>448.2</v>
      </c>
      <c r="L59" s="284">
        <v>538.20000000000005</v>
      </c>
      <c r="M59" s="284">
        <v>651.6</v>
      </c>
      <c r="N59" s="284">
        <v>518.4</v>
      </c>
      <c r="O59" s="284">
        <v>524.4</v>
      </c>
      <c r="P59" s="284">
        <v>524.4</v>
      </c>
      <c r="Q59" s="284">
        <v>528.6</v>
      </c>
      <c r="R59" s="284">
        <v>449.4</v>
      </c>
      <c r="S59" s="284">
        <v>460.2</v>
      </c>
      <c r="T59" s="284">
        <f t="shared" si="1"/>
        <v>5904.6</v>
      </c>
      <c r="U59" s="309">
        <v>41206</v>
      </c>
      <c r="V59" s="304" t="s">
        <v>912</v>
      </c>
      <c r="W59" s="315" t="s">
        <v>750</v>
      </c>
      <c r="X59" s="305"/>
      <c r="Y59" s="305"/>
      <c r="Z59" s="305"/>
      <c r="AA59" s="305"/>
      <c r="AB59" s="305"/>
      <c r="AC59" s="306"/>
      <c r="AD59" s="307">
        <v>39015</v>
      </c>
      <c r="AE59" s="278">
        <f t="shared" ca="1" si="2"/>
        <v>3175</v>
      </c>
      <c r="AF59" s="299" t="s">
        <v>96</v>
      </c>
    </row>
    <row r="60" spans="1:32" s="311" customFormat="1" ht="30" customHeight="1" thickBot="1" x14ac:dyDescent="0.25">
      <c r="A60" s="299" t="s">
        <v>915</v>
      </c>
      <c r="B60" s="299" t="s">
        <v>23</v>
      </c>
      <c r="C60" s="299" t="s">
        <v>56</v>
      </c>
      <c r="D60" s="301" t="s">
        <v>973</v>
      </c>
      <c r="E60" s="301" t="s">
        <v>917</v>
      </c>
      <c r="F60" s="387">
        <v>6500</v>
      </c>
      <c r="G60" s="302">
        <v>6500</v>
      </c>
      <c r="H60" s="284">
        <v>0</v>
      </c>
      <c r="I60" s="284">
        <v>0</v>
      </c>
      <c r="J60" s="284">
        <v>0</v>
      </c>
      <c r="K60" s="284">
        <v>0</v>
      </c>
      <c r="L60" s="284">
        <v>0</v>
      </c>
      <c r="M60" s="284">
        <v>0</v>
      </c>
      <c r="N60" s="284">
        <v>0</v>
      </c>
      <c r="O60" s="284">
        <v>0</v>
      </c>
      <c r="P60" s="284">
        <v>0</v>
      </c>
      <c r="Q60" s="284">
        <v>0</v>
      </c>
      <c r="R60" s="284">
        <v>6500</v>
      </c>
      <c r="S60" s="284">
        <v>0</v>
      </c>
      <c r="T60" s="284">
        <f t="shared" si="1"/>
        <v>6500</v>
      </c>
      <c r="U60" s="309">
        <v>41207</v>
      </c>
      <c r="V60" s="304" t="s">
        <v>918</v>
      </c>
      <c r="W60" s="364" t="s">
        <v>948</v>
      </c>
      <c r="X60" s="305"/>
      <c r="Y60" s="305"/>
      <c r="Z60" s="305"/>
      <c r="AA60" s="305"/>
      <c r="AB60" s="305"/>
      <c r="AC60" s="306"/>
      <c r="AD60" s="307">
        <v>40842</v>
      </c>
      <c r="AE60" s="278">
        <f t="shared" ca="1" si="2"/>
        <v>1348</v>
      </c>
      <c r="AF60" s="299" t="s">
        <v>649</v>
      </c>
    </row>
    <row r="61" spans="1:32" s="311" customFormat="1" ht="30" customHeight="1" thickBot="1" x14ac:dyDescent="0.25">
      <c r="A61" s="299" t="s">
        <v>397</v>
      </c>
      <c r="B61" s="299" t="s">
        <v>398</v>
      </c>
      <c r="C61" s="299" t="s">
        <v>613</v>
      </c>
      <c r="D61" s="301" t="s">
        <v>399</v>
      </c>
      <c r="E61" s="301" t="s">
        <v>400</v>
      </c>
      <c r="F61" s="387" t="s">
        <v>1005</v>
      </c>
      <c r="G61" s="302" t="s">
        <v>919</v>
      </c>
      <c r="H61" s="284">
        <v>6976.24</v>
      </c>
      <c r="I61" s="284">
        <v>7827.22</v>
      </c>
      <c r="J61" s="284">
        <v>7605.73</v>
      </c>
      <c r="K61" s="284">
        <v>8483.77</v>
      </c>
      <c r="L61" s="284">
        <v>7224.11</v>
      </c>
      <c r="M61" s="284">
        <v>6971.95</v>
      </c>
      <c r="N61" s="284">
        <v>6232.3</v>
      </c>
      <c r="O61" s="284">
        <v>8066.54</v>
      </c>
      <c r="P61" s="284">
        <v>8059.15</v>
      </c>
      <c r="Q61" s="284">
        <v>6703.94</v>
      </c>
      <c r="R61" s="284">
        <v>5766.65</v>
      </c>
      <c r="S61" s="284">
        <v>6364.72</v>
      </c>
      <c r="T61" s="284">
        <f t="shared" si="1"/>
        <v>86282.319999999992</v>
      </c>
      <c r="U61" s="303">
        <v>41215</v>
      </c>
      <c r="V61" s="304" t="s">
        <v>920</v>
      </c>
      <c r="W61" s="315" t="s">
        <v>752</v>
      </c>
      <c r="X61" s="305"/>
      <c r="Y61" s="305"/>
      <c r="Z61" s="305"/>
      <c r="AA61" s="305"/>
      <c r="AB61" s="305"/>
      <c r="AC61" s="306"/>
      <c r="AD61" s="307">
        <v>39755</v>
      </c>
      <c r="AE61" s="278">
        <f t="shared" ca="1" si="2"/>
        <v>2436</v>
      </c>
      <c r="AF61" s="299" t="s">
        <v>48</v>
      </c>
    </row>
    <row r="62" spans="1:32" s="311" customFormat="1" ht="30" customHeight="1" thickBot="1" x14ac:dyDescent="0.25">
      <c r="A62" s="299" t="s">
        <v>786</v>
      </c>
      <c r="B62" s="322" t="s">
        <v>23</v>
      </c>
      <c r="C62" s="299" t="s">
        <v>372</v>
      </c>
      <c r="D62" s="301" t="s">
        <v>787</v>
      </c>
      <c r="E62" s="301" t="s">
        <v>791</v>
      </c>
      <c r="F62" s="299" t="s">
        <v>375</v>
      </c>
      <c r="G62" s="302" t="s">
        <v>375</v>
      </c>
      <c r="H62" s="284">
        <v>0</v>
      </c>
      <c r="I62" s="284">
        <v>0</v>
      </c>
      <c r="J62" s="284">
        <v>0</v>
      </c>
      <c r="K62" s="284">
        <v>0</v>
      </c>
      <c r="L62" s="284">
        <v>0</v>
      </c>
      <c r="M62" s="284">
        <v>0</v>
      </c>
      <c r="N62" s="284">
        <v>0</v>
      </c>
      <c r="O62" s="284">
        <v>0</v>
      </c>
      <c r="P62" s="284">
        <v>0</v>
      </c>
      <c r="Q62" s="284">
        <v>0</v>
      </c>
      <c r="R62" s="284">
        <v>0</v>
      </c>
      <c r="S62" s="284">
        <v>0</v>
      </c>
      <c r="T62" s="284">
        <f t="shared" si="1"/>
        <v>0</v>
      </c>
      <c r="U62" s="309">
        <v>41228</v>
      </c>
      <c r="V62" s="304" t="s">
        <v>788</v>
      </c>
      <c r="W62" s="310" t="s">
        <v>838</v>
      </c>
      <c r="X62" s="305"/>
      <c r="Y62" s="305"/>
      <c r="Z62" s="305"/>
      <c r="AA62" s="305"/>
      <c r="AB62" s="305"/>
      <c r="AC62" s="306"/>
      <c r="AD62" s="307">
        <v>40498</v>
      </c>
      <c r="AE62" s="278">
        <f t="shared" ca="1" si="2"/>
        <v>1692</v>
      </c>
      <c r="AF62" s="299" t="s">
        <v>96</v>
      </c>
    </row>
    <row r="63" spans="1:32" s="311" customFormat="1" ht="30" customHeight="1" thickBot="1" x14ac:dyDescent="0.25">
      <c r="A63" s="299" t="s">
        <v>137</v>
      </c>
      <c r="B63" s="299" t="s">
        <v>23</v>
      </c>
      <c r="C63" s="299" t="s">
        <v>56</v>
      </c>
      <c r="D63" s="301" t="s">
        <v>138</v>
      </c>
      <c r="E63" s="301" t="s">
        <v>139</v>
      </c>
      <c r="F63" s="387" t="s">
        <v>1004</v>
      </c>
      <c r="G63" s="302" t="s">
        <v>952</v>
      </c>
      <c r="H63" s="284">
        <v>642.75</v>
      </c>
      <c r="I63" s="284">
        <v>642.75</v>
      </c>
      <c r="J63" s="284">
        <v>642.75</v>
      </c>
      <c r="K63" s="284">
        <v>642.75</v>
      </c>
      <c r="L63" s="284">
        <v>642.75</v>
      </c>
      <c r="M63" s="284">
        <v>642.75</v>
      </c>
      <c r="N63" s="284">
        <v>642.75</v>
      </c>
      <c r="O63" s="284">
        <v>642.75</v>
      </c>
      <c r="P63" s="284">
        <v>642.75</v>
      </c>
      <c r="Q63" s="284">
        <v>642.75</v>
      </c>
      <c r="R63" s="284">
        <v>642.75</v>
      </c>
      <c r="S63" s="284">
        <v>642.75</v>
      </c>
      <c r="T63" s="284">
        <f t="shared" si="1"/>
        <v>7713</v>
      </c>
      <c r="U63" s="303">
        <v>41228</v>
      </c>
      <c r="V63" s="304" t="s">
        <v>982</v>
      </c>
      <c r="W63" s="315" t="s">
        <v>740</v>
      </c>
      <c r="X63" s="305"/>
      <c r="Y63" s="305"/>
      <c r="Z63" s="305"/>
      <c r="AA63" s="305"/>
      <c r="AB63" s="305"/>
      <c r="AC63" s="306">
        <v>40830</v>
      </c>
      <c r="AD63" s="307">
        <v>39037</v>
      </c>
      <c r="AE63" s="278">
        <f t="shared" ca="1" si="2"/>
        <v>3153</v>
      </c>
      <c r="AF63" s="299" t="s">
        <v>48</v>
      </c>
    </row>
    <row r="64" spans="1:32" s="311" customFormat="1" ht="30" customHeight="1" thickBot="1" x14ac:dyDescent="0.25">
      <c r="A64" s="299" t="s">
        <v>628</v>
      </c>
      <c r="B64" s="300" t="s">
        <v>585</v>
      </c>
      <c r="C64" s="299" t="s">
        <v>617</v>
      </c>
      <c r="D64" s="312" t="s">
        <v>44</v>
      </c>
      <c r="E64" s="337" t="s">
        <v>932</v>
      </c>
      <c r="F64" s="387">
        <v>35900</v>
      </c>
      <c r="G64" s="313">
        <v>40083.480000000003</v>
      </c>
      <c r="H64" s="314">
        <v>3131.7</v>
      </c>
      <c r="I64" s="314">
        <v>3131.7</v>
      </c>
      <c r="J64" s="314">
        <v>3131.7</v>
      </c>
      <c r="K64" s="314">
        <v>3131.7</v>
      </c>
      <c r="L64" s="314">
        <v>3131.7</v>
      </c>
      <c r="M64" s="314">
        <v>3131.7</v>
      </c>
      <c r="N64" s="314">
        <v>3131.7</v>
      </c>
      <c r="O64" s="314">
        <v>3131.7</v>
      </c>
      <c r="P64" s="314">
        <v>3131.7</v>
      </c>
      <c r="Q64" s="314">
        <v>3131.7</v>
      </c>
      <c r="R64" s="314">
        <v>3131.7</v>
      </c>
      <c r="S64" s="314">
        <v>3131.7</v>
      </c>
      <c r="T64" s="284">
        <f t="shared" si="1"/>
        <v>37580.400000000001</v>
      </c>
      <c r="U64" s="303">
        <v>41243</v>
      </c>
      <c r="V64" s="326" t="s">
        <v>931</v>
      </c>
      <c r="W64" s="315" t="s">
        <v>746</v>
      </c>
      <c r="X64" s="305"/>
      <c r="Y64" s="305"/>
      <c r="Z64" s="305"/>
      <c r="AA64" s="305"/>
      <c r="AB64" s="305"/>
      <c r="AC64" s="303"/>
      <c r="AD64" s="316">
        <v>40147</v>
      </c>
      <c r="AE64" s="278">
        <f t="shared" ca="1" si="2"/>
        <v>2044</v>
      </c>
      <c r="AF64" s="299" t="s">
        <v>48</v>
      </c>
    </row>
    <row r="65" spans="1:37" s="311" customFormat="1" ht="30" customHeight="1" thickBot="1" x14ac:dyDescent="0.25">
      <c r="A65" s="299" t="s">
        <v>412</v>
      </c>
      <c r="B65" s="299" t="s">
        <v>413</v>
      </c>
      <c r="C65" s="299" t="s">
        <v>613</v>
      </c>
      <c r="D65" s="301" t="s">
        <v>414</v>
      </c>
      <c r="E65" s="301" t="s">
        <v>415</v>
      </c>
      <c r="F65" s="387"/>
      <c r="G65" s="302">
        <v>90271.1</v>
      </c>
      <c r="H65" s="284">
        <v>0</v>
      </c>
      <c r="I65" s="284">
        <v>0</v>
      </c>
      <c r="J65" s="284">
        <v>0</v>
      </c>
      <c r="K65" s="284">
        <v>0</v>
      </c>
      <c r="L65" s="284">
        <v>0</v>
      </c>
      <c r="M65" s="284">
        <v>0</v>
      </c>
      <c r="N65" s="284">
        <v>0</v>
      </c>
      <c r="O65" s="284">
        <v>0</v>
      </c>
      <c r="P65" s="284">
        <v>0</v>
      </c>
      <c r="Q65" s="284">
        <v>0</v>
      </c>
      <c r="R65" s="284">
        <v>0</v>
      </c>
      <c r="S65" s="284">
        <v>0</v>
      </c>
      <c r="T65" s="284">
        <f t="shared" si="1"/>
        <v>0</v>
      </c>
      <c r="U65" s="303">
        <v>41244</v>
      </c>
      <c r="V65" s="304" t="s">
        <v>771</v>
      </c>
      <c r="W65" s="315" t="s">
        <v>756</v>
      </c>
      <c r="X65" s="305"/>
      <c r="Y65" s="305"/>
      <c r="Z65" s="305"/>
      <c r="AA65" s="305"/>
      <c r="AB65" s="305"/>
      <c r="AC65" s="306"/>
      <c r="AD65" s="307">
        <v>39680</v>
      </c>
      <c r="AE65" s="278">
        <f t="shared" ca="1" si="2"/>
        <v>2511</v>
      </c>
      <c r="AF65" s="299" t="s">
        <v>41</v>
      </c>
    </row>
    <row r="66" spans="1:37" s="311" customFormat="1" ht="30" customHeight="1" thickBot="1" x14ac:dyDescent="0.25">
      <c r="A66" s="299" t="s">
        <v>765</v>
      </c>
      <c r="B66" s="299" t="s">
        <v>773</v>
      </c>
      <c r="C66" s="299" t="s">
        <v>37</v>
      </c>
      <c r="D66" s="301" t="s">
        <v>88</v>
      </c>
      <c r="E66" s="301" t="s">
        <v>766</v>
      </c>
      <c r="F66" s="387">
        <v>29040</v>
      </c>
      <c r="G66" s="302">
        <v>30832.36</v>
      </c>
      <c r="H66" s="284">
        <v>2420</v>
      </c>
      <c r="I66" s="284">
        <v>2420</v>
      </c>
      <c r="J66" s="284">
        <v>2420</v>
      </c>
      <c r="K66" s="284">
        <v>2420</v>
      </c>
      <c r="L66" s="284">
        <v>2420</v>
      </c>
      <c r="M66" s="284">
        <v>2420</v>
      </c>
      <c r="N66" s="284">
        <v>2420</v>
      </c>
      <c r="O66" s="284">
        <v>2420</v>
      </c>
      <c r="P66" s="284">
        <v>2200</v>
      </c>
      <c r="Q66" s="284">
        <v>2200</v>
      </c>
      <c r="R66" s="284">
        <v>2200</v>
      </c>
      <c r="S66" s="284">
        <v>2200</v>
      </c>
      <c r="T66" s="284">
        <f t="shared" si="1"/>
        <v>28160</v>
      </c>
      <c r="U66" s="303">
        <v>41258</v>
      </c>
      <c r="V66" s="304" t="s">
        <v>983</v>
      </c>
      <c r="W66" s="315" t="s">
        <v>775</v>
      </c>
      <c r="X66" s="305"/>
      <c r="Y66" s="305"/>
      <c r="Z66" s="305"/>
      <c r="AA66" s="305"/>
      <c r="AB66" s="305"/>
      <c r="AC66" s="306">
        <v>40858</v>
      </c>
      <c r="AD66" s="307">
        <v>40527</v>
      </c>
      <c r="AE66" s="278">
        <f t="shared" ca="1" si="2"/>
        <v>1663</v>
      </c>
      <c r="AF66" s="310" t="s">
        <v>48</v>
      </c>
    </row>
    <row r="67" spans="1:37" s="311" customFormat="1" ht="30" customHeight="1" thickBot="1" x14ac:dyDescent="0.25">
      <c r="A67" s="299" t="s">
        <v>164</v>
      </c>
      <c r="B67" s="300" t="s">
        <v>1026</v>
      </c>
      <c r="C67" s="299" t="s">
        <v>37</v>
      </c>
      <c r="D67" s="301" t="s">
        <v>303</v>
      </c>
      <c r="E67" s="301" t="s">
        <v>167</v>
      </c>
      <c r="F67" s="387">
        <v>30000</v>
      </c>
      <c r="G67" s="302">
        <v>35559.599999999999</v>
      </c>
      <c r="H67" s="284"/>
      <c r="I67" s="284">
        <v>2784.52</v>
      </c>
      <c r="J67" s="284">
        <f>2784.52+920.53</f>
        <v>3705.05</v>
      </c>
      <c r="K67" s="284">
        <f>2784.52+920.53</f>
        <v>3705.05</v>
      </c>
      <c r="L67" s="284">
        <v>2784.52</v>
      </c>
      <c r="M67" s="284">
        <v>2784.52</v>
      </c>
      <c r="N67" s="284">
        <v>2784.62</v>
      </c>
      <c r="O67" s="284">
        <v>2963.3</v>
      </c>
      <c r="P67" s="284">
        <f>2784.42+920.53+219.77</f>
        <v>3924.72</v>
      </c>
      <c r="Q67" s="284">
        <f>2784.42+920.53+219.77</f>
        <v>3924.72</v>
      </c>
      <c r="R67" s="284"/>
      <c r="S67" s="284"/>
      <c r="T67" s="284">
        <f t="shared" si="1"/>
        <v>29361.02</v>
      </c>
      <c r="U67" s="309">
        <v>41269</v>
      </c>
      <c r="V67" s="304" t="s">
        <v>1013</v>
      </c>
      <c r="W67" s="315" t="s">
        <v>727</v>
      </c>
      <c r="X67" s="305"/>
      <c r="Y67" s="305"/>
      <c r="Z67" s="305"/>
      <c r="AA67" s="305"/>
      <c r="AB67" s="305"/>
      <c r="AC67" s="306">
        <v>40875</v>
      </c>
      <c r="AD67" s="307">
        <v>39080</v>
      </c>
      <c r="AE67" s="278">
        <f t="shared" ca="1" si="2"/>
        <v>3110</v>
      </c>
      <c r="AF67" s="299" t="s">
        <v>169</v>
      </c>
    </row>
    <row r="68" spans="1:37" s="311" customFormat="1" ht="30" customHeight="1" thickBot="1" x14ac:dyDescent="0.25">
      <c r="A68" s="299" t="s">
        <v>688</v>
      </c>
      <c r="B68" s="300" t="s">
        <v>689</v>
      </c>
      <c r="C68" s="299" t="s">
        <v>613</v>
      </c>
      <c r="D68" s="301" t="s">
        <v>690</v>
      </c>
      <c r="E68" s="301" t="s">
        <v>691</v>
      </c>
      <c r="F68" s="387">
        <v>24600</v>
      </c>
      <c r="G68" s="302">
        <v>24600</v>
      </c>
      <c r="H68" s="284">
        <v>0</v>
      </c>
      <c r="I68" s="284">
        <v>0</v>
      </c>
      <c r="J68" s="284">
        <v>0</v>
      </c>
      <c r="K68" s="284">
        <v>0</v>
      </c>
      <c r="L68" s="284">
        <v>0</v>
      </c>
      <c r="M68" s="284">
        <v>0</v>
      </c>
      <c r="N68" s="284">
        <v>0</v>
      </c>
      <c r="O68" s="284">
        <v>0</v>
      </c>
      <c r="P68" s="284">
        <v>0</v>
      </c>
      <c r="Q68" s="284">
        <v>0</v>
      </c>
      <c r="R68" s="284">
        <v>0</v>
      </c>
      <c r="S68" s="284">
        <v>0</v>
      </c>
      <c r="T68" s="284">
        <f t="shared" si="1"/>
        <v>0</v>
      </c>
      <c r="U68" s="303">
        <v>41322</v>
      </c>
      <c r="V68" s="304" t="s">
        <v>692</v>
      </c>
      <c r="W68" s="315" t="s">
        <v>758</v>
      </c>
      <c r="X68" s="305"/>
      <c r="Y68" s="305"/>
      <c r="Z68" s="305"/>
      <c r="AA68" s="305"/>
      <c r="AB68" s="305"/>
      <c r="AC68" s="306"/>
      <c r="AD68" s="307">
        <v>40227</v>
      </c>
      <c r="AE68" s="278">
        <f t="shared" ca="1" si="2"/>
        <v>1964</v>
      </c>
      <c r="AF68" s="299" t="s">
        <v>41</v>
      </c>
    </row>
    <row r="69" spans="1:37" s="311" customFormat="1" ht="30" customHeight="1" thickBot="1" x14ac:dyDescent="0.25">
      <c r="A69" s="366" t="s">
        <v>718</v>
      </c>
      <c r="B69" s="366" t="s">
        <v>719</v>
      </c>
      <c r="C69" s="366" t="s">
        <v>617</v>
      </c>
      <c r="D69" s="301" t="s">
        <v>379</v>
      </c>
      <c r="E69" s="301" t="s">
        <v>720</v>
      </c>
      <c r="F69" s="299" t="s">
        <v>721</v>
      </c>
      <c r="G69" s="302" t="s">
        <v>721</v>
      </c>
      <c r="H69" s="284">
        <v>0</v>
      </c>
      <c r="I69" s="284">
        <v>0</v>
      </c>
      <c r="J69" s="284">
        <v>0</v>
      </c>
      <c r="K69" s="284">
        <v>0</v>
      </c>
      <c r="L69" s="284">
        <v>0</v>
      </c>
      <c r="M69" s="284">
        <v>0</v>
      </c>
      <c r="N69" s="284">
        <v>0</v>
      </c>
      <c r="O69" s="284">
        <v>0</v>
      </c>
      <c r="P69" s="284">
        <v>0</v>
      </c>
      <c r="Q69" s="284">
        <v>0</v>
      </c>
      <c r="R69" s="284">
        <v>0</v>
      </c>
      <c r="S69" s="284">
        <v>0</v>
      </c>
      <c r="T69" s="284">
        <f t="shared" si="1"/>
        <v>0</v>
      </c>
      <c r="U69" s="303">
        <v>41546</v>
      </c>
      <c r="V69" s="359" t="s">
        <v>722</v>
      </c>
      <c r="W69" s="315" t="s">
        <v>745</v>
      </c>
      <c r="X69" s="305"/>
      <c r="Y69" s="305"/>
      <c r="Z69" s="305"/>
      <c r="AA69" s="305"/>
      <c r="AB69" s="305"/>
      <c r="AC69" s="306"/>
      <c r="AD69" s="307">
        <v>40451</v>
      </c>
      <c r="AE69" s="278">
        <f t="shared" ca="1" si="2"/>
        <v>1739</v>
      </c>
      <c r="AF69" s="299" t="s">
        <v>41</v>
      </c>
    </row>
    <row r="70" spans="1:37" s="311" customFormat="1" ht="30" customHeight="1" thickBot="1" x14ac:dyDescent="0.25">
      <c r="A70" s="326"/>
      <c r="B70" s="300" t="s">
        <v>23</v>
      </c>
      <c r="C70" s="299" t="s">
        <v>24</v>
      </c>
      <c r="D70" s="301" t="s">
        <v>303</v>
      </c>
      <c r="E70" s="349" t="s">
        <v>971</v>
      </c>
      <c r="F70" s="299" t="s">
        <v>972</v>
      </c>
      <c r="G70" s="302" t="s">
        <v>972</v>
      </c>
      <c r="H70" s="360">
        <v>0</v>
      </c>
      <c r="I70" s="360">
        <v>0</v>
      </c>
      <c r="J70" s="360">
        <v>0</v>
      </c>
      <c r="K70" s="360">
        <v>0</v>
      </c>
      <c r="L70" s="360">
        <v>0</v>
      </c>
      <c r="M70" s="360">
        <v>0</v>
      </c>
      <c r="N70" s="360">
        <v>0</v>
      </c>
      <c r="O70" s="360">
        <v>0</v>
      </c>
      <c r="P70" s="360"/>
      <c r="Q70" s="360"/>
      <c r="R70" s="360"/>
      <c r="S70" s="360"/>
      <c r="T70" s="360"/>
      <c r="U70" s="303">
        <v>41613</v>
      </c>
      <c r="V70" s="304" t="s">
        <v>970</v>
      </c>
      <c r="W70" s="315" t="s">
        <v>727</v>
      </c>
      <c r="X70" s="305"/>
      <c r="Y70" s="305"/>
      <c r="Z70" s="305"/>
      <c r="AA70" s="305"/>
      <c r="AB70" s="305"/>
      <c r="AC70" s="306"/>
      <c r="AD70" s="307"/>
      <c r="AE70" s="363"/>
      <c r="AF70" s="326"/>
    </row>
    <row r="71" spans="1:37" s="311" customFormat="1" ht="30" customHeight="1" thickBot="1" x14ac:dyDescent="0.25">
      <c r="A71" s="299" t="s">
        <v>1025</v>
      </c>
      <c r="B71" s="299" t="s">
        <v>667</v>
      </c>
      <c r="C71" s="299" t="s">
        <v>772</v>
      </c>
      <c r="D71" s="301" t="s">
        <v>856</v>
      </c>
      <c r="E71" s="301" t="s">
        <v>857</v>
      </c>
      <c r="F71" s="324" t="s">
        <v>859</v>
      </c>
      <c r="G71" s="302" t="s">
        <v>859</v>
      </c>
      <c r="H71" s="284">
        <v>0</v>
      </c>
      <c r="I71" s="284">
        <v>0</v>
      </c>
      <c r="J71" s="284">
        <v>0</v>
      </c>
      <c r="K71" s="284">
        <v>0</v>
      </c>
      <c r="L71" s="284">
        <v>0</v>
      </c>
      <c r="M71" s="284">
        <v>0</v>
      </c>
      <c r="N71" s="284">
        <v>0</v>
      </c>
      <c r="O71" s="284">
        <f>490.36+108.65</f>
        <v>599.01</v>
      </c>
      <c r="P71" s="284">
        <f>60.15+567.49</f>
        <v>627.64</v>
      </c>
      <c r="Q71" s="284">
        <f>120.25+457.49</f>
        <v>577.74</v>
      </c>
      <c r="R71" s="284">
        <v>547.44000000000005</v>
      </c>
      <c r="S71" s="284">
        <v>600.45000000000005</v>
      </c>
      <c r="T71" s="284">
        <f>SUM(H71:S71)</f>
        <v>2952.2799999999997</v>
      </c>
      <c r="U71" s="303">
        <v>41614</v>
      </c>
      <c r="V71" s="310" t="s">
        <v>860</v>
      </c>
      <c r="W71" s="279" t="s">
        <v>861</v>
      </c>
      <c r="X71" s="305"/>
      <c r="Y71" s="305"/>
      <c r="Z71" s="305"/>
      <c r="AA71" s="305"/>
      <c r="AB71" s="305"/>
      <c r="AC71" s="307"/>
      <c r="AD71" s="325">
        <v>40701</v>
      </c>
      <c r="AE71" s="278">
        <f ca="1">TODAY()-DATE(YEAR(AD71)+5,MONTH(AD71),DAY(AD71))</f>
        <v>1854</v>
      </c>
      <c r="AF71" s="299" t="s">
        <v>48</v>
      </c>
    </row>
    <row r="72" spans="1:37" s="311" customFormat="1" ht="30" customHeight="1" thickBot="1" x14ac:dyDescent="0.25">
      <c r="A72" s="326" t="s">
        <v>23</v>
      </c>
      <c r="B72" s="300" t="s">
        <v>23</v>
      </c>
      <c r="C72" s="299" t="s">
        <v>372</v>
      </c>
      <c r="D72" s="301" t="s">
        <v>967</v>
      </c>
      <c r="E72" s="349" t="s">
        <v>968</v>
      </c>
      <c r="F72" s="299" t="s">
        <v>972</v>
      </c>
      <c r="G72" s="302" t="s">
        <v>972</v>
      </c>
      <c r="H72" s="360">
        <v>0</v>
      </c>
      <c r="I72" s="360">
        <v>0</v>
      </c>
      <c r="J72" s="360">
        <v>0</v>
      </c>
      <c r="K72" s="360">
        <v>0</v>
      </c>
      <c r="L72" s="360">
        <v>0</v>
      </c>
      <c r="M72" s="360">
        <v>0</v>
      </c>
      <c r="N72" s="360">
        <v>0</v>
      </c>
      <c r="O72" s="360">
        <v>0</v>
      </c>
      <c r="P72" s="360"/>
      <c r="Q72" s="360"/>
      <c r="R72" s="360"/>
      <c r="S72" s="360"/>
      <c r="T72" s="360"/>
      <c r="U72" s="303" t="s">
        <v>233</v>
      </c>
      <c r="V72" s="304" t="s">
        <v>969</v>
      </c>
      <c r="W72" s="390" t="s">
        <v>998</v>
      </c>
      <c r="X72" s="305"/>
      <c r="Y72" s="305"/>
      <c r="Z72" s="305"/>
      <c r="AA72" s="305"/>
      <c r="AB72" s="305"/>
      <c r="AC72" s="306"/>
      <c r="AD72" s="307">
        <v>36819</v>
      </c>
      <c r="AE72" s="363"/>
      <c r="AF72" s="326" t="s">
        <v>54</v>
      </c>
    </row>
    <row r="73" spans="1:37" s="311" customFormat="1" ht="30" customHeight="1" x14ac:dyDescent="0.2">
      <c r="A73" s="299" t="s">
        <v>902</v>
      </c>
      <c r="B73" s="299" t="s">
        <v>23</v>
      </c>
      <c r="C73" s="299" t="s">
        <v>56</v>
      </c>
      <c r="D73" s="301" t="s">
        <v>903</v>
      </c>
      <c r="E73" s="301" t="s">
        <v>904</v>
      </c>
      <c r="F73" s="387">
        <v>15900</v>
      </c>
      <c r="G73" s="302">
        <v>15900</v>
      </c>
      <c r="H73" s="284">
        <v>0</v>
      </c>
      <c r="I73" s="284">
        <v>0</v>
      </c>
      <c r="J73" s="284">
        <v>0</v>
      </c>
      <c r="K73" s="284">
        <v>0</v>
      </c>
      <c r="L73" s="284">
        <v>0</v>
      </c>
      <c r="M73" s="284">
        <v>0</v>
      </c>
      <c r="N73" s="284">
        <v>0</v>
      </c>
      <c r="O73" s="284">
        <v>0</v>
      </c>
      <c r="P73" s="284">
        <v>0</v>
      </c>
      <c r="Q73" s="284">
        <v>0</v>
      </c>
      <c r="R73" s="284">
        <v>15900</v>
      </c>
      <c r="S73" s="284">
        <v>0</v>
      </c>
      <c r="T73" s="284">
        <f>SUM(H73:S73)</f>
        <v>15900</v>
      </c>
      <c r="U73" s="303"/>
      <c r="V73" s="310" t="s">
        <v>905</v>
      </c>
      <c r="W73" s="310" t="s">
        <v>911</v>
      </c>
      <c r="X73" s="305"/>
      <c r="Y73" s="305"/>
      <c r="Z73" s="305"/>
      <c r="AA73" s="305"/>
      <c r="AB73" s="305"/>
      <c r="AC73" s="306"/>
      <c r="AD73" s="307">
        <v>40812</v>
      </c>
      <c r="AE73" s="278"/>
      <c r="AF73" s="299" t="s">
        <v>48</v>
      </c>
    </row>
    <row r="74" spans="1:37" ht="12" customHeight="1" x14ac:dyDescent="0.2">
      <c r="A74" s="52"/>
      <c r="B74" s="52"/>
      <c r="C74" s="52"/>
      <c r="E74" s="52"/>
      <c r="H74" s="260"/>
      <c r="I74" s="260"/>
      <c r="J74" s="260"/>
      <c r="K74" s="260"/>
      <c r="L74" s="260"/>
      <c r="M74" s="260"/>
      <c r="N74" s="260"/>
      <c r="O74" s="260"/>
      <c r="P74" s="260"/>
      <c r="Q74" s="260"/>
      <c r="R74" s="260"/>
      <c r="S74" s="261" t="s">
        <v>891</v>
      </c>
      <c r="T74" s="262">
        <f>SUM(T11:T73)</f>
        <v>2740795.4299999988</v>
      </c>
      <c r="U74" s="74"/>
    </row>
    <row r="75" spans="1:37" ht="20.100000000000001" customHeight="1" x14ac:dyDescent="0.2">
      <c r="A75" s="52"/>
      <c r="B75" s="52"/>
      <c r="C75" s="52"/>
      <c r="D75" s="53" t="s">
        <v>235</v>
      </c>
      <c r="E75" s="253" t="s">
        <v>239</v>
      </c>
      <c r="U75" s="74"/>
      <c r="AD75" s="927"/>
      <c r="AE75" s="927"/>
      <c r="AF75" s="927"/>
      <c r="AG75" s="927"/>
      <c r="AH75" s="927"/>
      <c r="AI75" s="927"/>
      <c r="AJ75" s="927"/>
      <c r="AK75" s="927"/>
    </row>
    <row r="76" spans="1:37" ht="20.100000000000001" customHeight="1" x14ac:dyDescent="0.2">
      <c r="A76" s="52"/>
      <c r="B76" s="52"/>
      <c r="C76" s="52"/>
      <c r="D76" s="53" t="s">
        <v>236</v>
      </c>
      <c r="E76" s="253" t="s">
        <v>388</v>
      </c>
      <c r="U76" s="74"/>
    </row>
    <row r="77" spans="1:37" ht="20.100000000000001" customHeight="1" x14ac:dyDescent="0.2">
      <c r="A77" s="52"/>
      <c r="B77" s="52"/>
      <c r="C77" s="52"/>
      <c r="D77" s="53" t="s">
        <v>237</v>
      </c>
      <c r="E77" s="253" t="s">
        <v>389</v>
      </c>
      <c r="U77" s="74"/>
    </row>
    <row r="78" spans="1:37" ht="20.100000000000001" customHeight="1" x14ac:dyDescent="0.2">
      <c r="D78" s="53" t="s">
        <v>238</v>
      </c>
      <c r="E78" s="253" t="s">
        <v>390</v>
      </c>
    </row>
    <row r="79" spans="1:37" ht="20.100000000000001" customHeight="1" x14ac:dyDescent="0.2">
      <c r="D79" s="1" t="s">
        <v>699</v>
      </c>
      <c r="E79" s="253" t="s">
        <v>702</v>
      </c>
    </row>
    <row r="80" spans="1:37" ht="20.100000000000001" customHeight="1" x14ac:dyDescent="0.2">
      <c r="D80" s="54" t="s">
        <v>1057</v>
      </c>
      <c r="E80" s="253" t="s">
        <v>858</v>
      </c>
    </row>
    <row r="81" spans="5:5" ht="20.100000000000001" customHeight="1" x14ac:dyDescent="0.2">
      <c r="E81" s="54" t="s">
        <v>938</v>
      </c>
    </row>
  </sheetData>
  <sheetProtection password="EA2D" sheet="1"/>
  <mergeCells count="15">
    <mergeCell ref="A6:AF6"/>
    <mergeCell ref="A9:A10"/>
    <mergeCell ref="B9:B10"/>
    <mergeCell ref="C9:C10"/>
    <mergeCell ref="D9:D10"/>
    <mergeCell ref="E9:E10"/>
    <mergeCell ref="G9:G10"/>
    <mergeCell ref="H9:T9"/>
    <mergeCell ref="AD75:AK75"/>
    <mergeCell ref="U9:U10"/>
    <mergeCell ref="V9:V10"/>
    <mergeCell ref="W9:W10"/>
    <mergeCell ref="X9:AB9"/>
    <mergeCell ref="AC9:AC10"/>
    <mergeCell ref="AF9:AF10"/>
  </mergeCells>
  <conditionalFormatting sqref="AE11:AE18">
    <cfRule type="expression" dxfId="91" priority="18" stopIfTrue="1">
      <formula>$AE11&gt;=-390</formula>
    </cfRule>
  </conditionalFormatting>
  <conditionalFormatting sqref="AE19:AE24 AE27 AE73 AE29:AE70">
    <cfRule type="expression" dxfId="90" priority="17" stopIfTrue="1">
      <formula>$AE19&gt;=-120</formula>
    </cfRule>
  </conditionalFormatting>
  <conditionalFormatting sqref="AE14">
    <cfRule type="expression" dxfId="89" priority="8" stopIfTrue="1">
      <formula>$AE14&gt;=-120</formula>
    </cfRule>
  </conditionalFormatting>
  <conditionalFormatting sqref="AE28">
    <cfRule type="expression" dxfId="88" priority="1" stopIfTrue="1">
      <formula>$AE28&gt;=-120</formula>
    </cfRule>
  </conditionalFormatting>
  <pageMargins left="7.874015748031496E-2" right="7.874015748031496E-2" top="7.874015748031496E-2" bottom="7.874015748031496E-2" header="0" footer="0"/>
  <pageSetup paperSize="9" scale="60" firstPageNumber="0" orientation="landscape" horizontalDpi="300" verticalDpi="300" r:id="rId1"/>
  <headerFooter alignWithMargins="0">
    <oddHeader>&amp;R&amp;P</oddHeader>
  </headerFooter>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132"/>
  <sheetViews>
    <sheetView topLeftCell="D1" zoomScale="82" zoomScaleNormal="82" workbookViewId="0">
      <pane ySplit="4" topLeftCell="A23" activePane="bottomLeft" state="frozen"/>
      <selection pane="bottomLeft" activeCell="D28" sqref="D28"/>
    </sheetView>
  </sheetViews>
  <sheetFormatPr defaultColWidth="12.5703125" defaultRowHeight="12.75" x14ac:dyDescent="0.2"/>
  <cols>
    <col min="1" max="1" width="16.5703125" bestFit="1" customWidth="1"/>
    <col min="2" max="2" width="13.28515625" customWidth="1"/>
    <col min="3" max="3" width="14.42578125" bestFit="1" customWidth="1"/>
    <col min="4" max="4" width="42.5703125" customWidth="1"/>
    <col min="5" max="5" width="75.5703125" bestFit="1" customWidth="1"/>
    <col min="6" max="6" width="18" customWidth="1"/>
    <col min="7" max="9" width="12" customWidth="1"/>
    <col min="10" max="10" width="13.140625" customWidth="1"/>
    <col min="11" max="11" width="12" bestFit="1" customWidth="1"/>
    <col min="12" max="13" width="13.42578125" bestFit="1" customWidth="1"/>
    <col min="14" max="14" width="12.42578125" customWidth="1"/>
    <col min="15" max="15" width="14.5703125" bestFit="1" customWidth="1"/>
    <col min="16" max="16" width="13.140625" bestFit="1" customWidth="1"/>
    <col min="17" max="17" width="15" bestFit="1" customWidth="1"/>
    <col min="18" max="18" width="14.85546875" bestFit="1" customWidth="1"/>
    <col min="19" max="19" width="18.5703125" customWidth="1"/>
    <col min="20" max="20" width="9.5703125" bestFit="1" customWidth="1"/>
    <col min="21" max="21" width="12.28515625" customWidth="1"/>
    <col min="22" max="22" width="37" customWidth="1"/>
    <col min="23" max="23" width="17.5703125" customWidth="1"/>
    <col min="24" max="24" width="3.42578125" customWidth="1"/>
    <col min="25" max="25" width="3.7109375" customWidth="1"/>
    <col min="26" max="26" width="5.140625" customWidth="1"/>
    <col min="27" max="27" width="4.5703125" customWidth="1"/>
    <col min="28" max="28" width="6" customWidth="1"/>
    <col min="29" max="29" width="10.140625" customWidth="1"/>
    <col min="30" max="30" width="12" customWidth="1"/>
    <col min="31" max="31" width="14.140625" customWidth="1"/>
    <col min="32" max="32" width="10.7109375" customWidth="1"/>
  </cols>
  <sheetData>
    <row r="1" spans="1:32" ht="15.75" x14ac:dyDescent="0.25">
      <c r="D1" s="967" t="s">
        <v>1296</v>
      </c>
      <c r="M1" s="303"/>
      <c r="AE1" s="354" t="s">
        <v>0</v>
      </c>
    </row>
    <row r="2" spans="1:32" ht="16.5" thickBot="1" x14ac:dyDescent="0.3">
      <c r="D2" s="968"/>
      <c r="U2" s="303"/>
      <c r="AE2" s="355">
        <f ca="1">TODAY()</f>
        <v>44382</v>
      </c>
    </row>
    <row r="3" spans="1:32" s="265" customFormat="1" ht="30" customHeight="1" thickTop="1" thickBot="1" x14ac:dyDescent="0.25">
      <c r="A3" s="956" t="s">
        <v>2</v>
      </c>
      <c r="B3" s="958" t="s">
        <v>3</v>
      </c>
      <c r="C3" s="958" t="s">
        <v>4</v>
      </c>
      <c r="D3" s="960" t="s">
        <v>5</v>
      </c>
      <c r="E3" s="960" t="s">
        <v>6</v>
      </c>
      <c r="F3" s="960" t="s">
        <v>7</v>
      </c>
      <c r="G3" s="961" t="s">
        <v>1018</v>
      </c>
      <c r="H3" s="961"/>
      <c r="I3" s="961"/>
      <c r="J3" s="961"/>
      <c r="K3" s="961"/>
      <c r="L3" s="961"/>
      <c r="M3" s="961"/>
      <c r="N3" s="961"/>
      <c r="O3" s="961"/>
      <c r="P3" s="961"/>
      <c r="Q3" s="961"/>
      <c r="R3" s="961"/>
      <c r="S3" s="961"/>
      <c r="T3" s="958" t="s">
        <v>241</v>
      </c>
      <c r="U3" s="962" t="s">
        <v>8</v>
      </c>
      <c r="V3" s="960" t="s">
        <v>9</v>
      </c>
      <c r="W3" s="960" t="s">
        <v>10</v>
      </c>
      <c r="X3" s="964" t="s">
        <v>11</v>
      </c>
      <c r="Y3" s="964"/>
      <c r="Z3" s="964"/>
      <c r="AA3" s="964"/>
      <c r="AB3" s="964"/>
      <c r="AC3" s="962" t="s">
        <v>835</v>
      </c>
      <c r="AD3" s="263" t="s">
        <v>984</v>
      </c>
      <c r="AE3" s="264" t="s">
        <v>820</v>
      </c>
      <c r="AF3" s="965" t="s">
        <v>15</v>
      </c>
    </row>
    <row r="4" spans="1:32" s="265" customFormat="1" ht="30" customHeight="1" thickTop="1" thickBot="1" x14ac:dyDescent="0.25">
      <c r="A4" s="957"/>
      <c r="B4" s="959"/>
      <c r="C4" s="959"/>
      <c r="D4" s="958"/>
      <c r="E4" s="958"/>
      <c r="F4" s="958"/>
      <c r="G4" s="266" t="s">
        <v>822</v>
      </c>
      <c r="H4" s="266" t="s">
        <v>823</v>
      </c>
      <c r="I4" s="266" t="s">
        <v>824</v>
      </c>
      <c r="J4" s="266" t="s">
        <v>825</v>
      </c>
      <c r="K4" s="266" t="s">
        <v>826</v>
      </c>
      <c r="L4" s="266" t="s">
        <v>827</v>
      </c>
      <c r="M4" s="266" t="s">
        <v>828</v>
      </c>
      <c r="N4" s="266" t="s">
        <v>829</v>
      </c>
      <c r="O4" s="266" t="s">
        <v>830</v>
      </c>
      <c r="P4" s="266" t="s">
        <v>831</v>
      </c>
      <c r="Q4" s="266" t="s">
        <v>832</v>
      </c>
      <c r="R4" s="266" t="s">
        <v>833</v>
      </c>
      <c r="S4" s="266" t="s">
        <v>1020</v>
      </c>
      <c r="T4" s="958"/>
      <c r="U4" s="963"/>
      <c r="V4" s="958"/>
      <c r="W4" s="958"/>
      <c r="X4" s="267" t="s">
        <v>16</v>
      </c>
      <c r="Y4" s="267" t="s">
        <v>17</v>
      </c>
      <c r="Z4" s="267" t="s">
        <v>18</v>
      </c>
      <c r="AA4" s="267" t="s">
        <v>19</v>
      </c>
      <c r="AB4" s="267" t="s">
        <v>20</v>
      </c>
      <c r="AC4" s="963"/>
      <c r="AD4" s="378" t="s">
        <v>469</v>
      </c>
      <c r="AE4" s="269" t="s">
        <v>244</v>
      </c>
      <c r="AF4" s="966"/>
    </row>
    <row r="5" spans="1:32" s="279" customFormat="1" ht="30" customHeight="1" thickBot="1" x14ac:dyDescent="0.25">
      <c r="A5" s="449" t="s">
        <v>636</v>
      </c>
      <c r="B5" s="449" t="s">
        <v>507</v>
      </c>
      <c r="C5" s="449" t="s">
        <v>772</v>
      </c>
      <c r="D5" s="452" t="s">
        <v>637</v>
      </c>
      <c r="E5" s="452" t="s">
        <v>638</v>
      </c>
      <c r="F5" s="453">
        <v>26882.400000000001</v>
      </c>
      <c r="G5" s="292">
        <v>2254.73</v>
      </c>
      <c r="H5" s="292">
        <v>2240.1999999999998</v>
      </c>
      <c r="I5" s="292">
        <v>2242.91</v>
      </c>
      <c r="J5" s="292">
        <v>2285.7600000000002</v>
      </c>
      <c r="K5" s="292">
        <v>2240.1999999999998</v>
      </c>
      <c r="L5" s="292">
        <v>2240.1999999999998</v>
      </c>
      <c r="M5" s="292">
        <v>2240.1999999999998</v>
      </c>
      <c r="N5" s="292">
        <v>2240.1999999999998</v>
      </c>
      <c r="O5" s="292">
        <v>2240.1999999999998</v>
      </c>
      <c r="P5" s="292">
        <v>448.04</v>
      </c>
      <c r="Q5" s="292"/>
      <c r="R5" s="292"/>
      <c r="S5" s="284">
        <f t="shared" ref="S5:S53" si="0">SUM(G5:R5)</f>
        <v>20672.640000000003</v>
      </c>
      <c r="T5" s="274">
        <f t="shared" ref="T5:T28" ca="1" si="1">U5-$AE$2</f>
        <v>-3849</v>
      </c>
      <c r="U5" s="285">
        <v>40533</v>
      </c>
      <c r="V5" s="286" t="s">
        <v>804</v>
      </c>
      <c r="W5" s="293" t="s">
        <v>725</v>
      </c>
      <c r="X5" s="287"/>
      <c r="Y5" s="287"/>
      <c r="Z5" s="287"/>
      <c r="AA5" s="287"/>
      <c r="AB5" s="287"/>
      <c r="AC5" s="285">
        <v>40504</v>
      </c>
      <c r="AD5" s="294">
        <v>40169</v>
      </c>
      <c r="AE5" s="278">
        <f ca="1">TODAY()-DATE(YEAR(AD5)+6,MONTH(AD5),DAY(AD5))</f>
        <v>2022</v>
      </c>
      <c r="AF5" s="280" t="s">
        <v>41</v>
      </c>
    </row>
    <row r="6" spans="1:32" s="279" customFormat="1" ht="30" customHeight="1" thickBot="1" x14ac:dyDescent="0.25">
      <c r="A6" s="449" t="s">
        <v>781</v>
      </c>
      <c r="B6" s="449" t="s">
        <v>790</v>
      </c>
      <c r="C6" s="449" t="s">
        <v>37</v>
      </c>
      <c r="D6" s="450" t="s">
        <v>782</v>
      </c>
      <c r="E6" s="450" t="s">
        <v>783</v>
      </c>
      <c r="F6" s="451" t="s">
        <v>784</v>
      </c>
      <c r="G6" s="283"/>
      <c r="H6" s="283"/>
      <c r="I6" s="283"/>
      <c r="J6" s="283"/>
      <c r="K6" s="283"/>
      <c r="L6" s="283"/>
      <c r="M6" s="283"/>
      <c r="N6" s="283"/>
      <c r="O6" s="283"/>
      <c r="P6" s="283"/>
      <c r="Q6" s="283"/>
      <c r="R6" s="283"/>
      <c r="S6" s="284">
        <f t="shared" si="0"/>
        <v>0</v>
      </c>
      <c r="T6" s="274">
        <f t="shared" ca="1" si="1"/>
        <v>-3641</v>
      </c>
      <c r="U6" s="468">
        <v>40741</v>
      </c>
      <c r="V6" s="296" t="s">
        <v>785</v>
      </c>
      <c r="W6" s="279" t="s">
        <v>789</v>
      </c>
      <c r="X6" s="287"/>
      <c r="Y6" s="287"/>
      <c r="Z6" s="287"/>
      <c r="AA6" s="287"/>
      <c r="AB6" s="287"/>
      <c r="AC6" s="288">
        <v>40711</v>
      </c>
      <c r="AD6" s="289">
        <v>40561</v>
      </c>
      <c r="AE6" s="278">
        <f ca="1">TODAY()-DATE(YEAR(AD6)+6,MONTH(AD6),DAY(AD6))</f>
        <v>1629</v>
      </c>
      <c r="AF6" s="280" t="s">
        <v>41</v>
      </c>
    </row>
    <row r="7" spans="1:32" s="311" customFormat="1" ht="30" customHeight="1" thickBot="1" x14ac:dyDescent="0.25">
      <c r="A7" s="454" t="s">
        <v>934</v>
      </c>
      <c r="B7" s="447" t="s">
        <v>23</v>
      </c>
      <c r="C7" s="447" t="s">
        <v>61</v>
      </c>
      <c r="D7" s="455" t="s">
        <v>935</v>
      </c>
      <c r="E7" s="455" t="s">
        <v>936</v>
      </c>
      <c r="F7" s="448" t="s">
        <v>937</v>
      </c>
      <c r="G7" s="284"/>
      <c r="H7" s="284">
        <v>2094.4</v>
      </c>
      <c r="I7" s="284">
        <v>2240.4</v>
      </c>
      <c r="J7" s="284"/>
      <c r="K7" s="284"/>
      <c r="L7" s="284">
        <v>2240.4</v>
      </c>
      <c r="M7" s="284"/>
      <c r="N7" s="284"/>
      <c r="O7" s="284"/>
      <c r="P7" s="284"/>
      <c r="Q7" s="284"/>
      <c r="R7" s="284"/>
      <c r="S7" s="284">
        <f t="shared" si="0"/>
        <v>6575.2000000000007</v>
      </c>
      <c r="T7" s="274">
        <f t="shared" ca="1" si="1"/>
        <v>-3415</v>
      </c>
      <c r="U7" s="303">
        <v>40967</v>
      </c>
      <c r="V7" s="304" t="s">
        <v>1016</v>
      </c>
      <c r="W7" s="315" t="s">
        <v>997</v>
      </c>
      <c r="X7" s="305"/>
      <c r="Y7" s="305"/>
      <c r="Z7" s="305"/>
      <c r="AA7" s="305"/>
      <c r="AB7" s="305"/>
      <c r="AC7" s="320"/>
      <c r="AD7" s="307">
        <v>40876</v>
      </c>
      <c r="AE7" s="278"/>
      <c r="AF7" s="299"/>
    </row>
    <row r="8" spans="1:32" s="311" customFormat="1" ht="30" customHeight="1" thickBot="1" x14ac:dyDescent="0.25">
      <c r="A8" s="321" t="s">
        <v>845</v>
      </c>
      <c r="B8" s="299" t="s">
        <v>23</v>
      </c>
      <c r="C8" s="299" t="s">
        <v>61</v>
      </c>
      <c r="D8" s="301" t="s">
        <v>333</v>
      </c>
      <c r="E8" s="301" t="s">
        <v>846</v>
      </c>
      <c r="F8" s="302">
        <v>1200</v>
      </c>
      <c r="G8" s="284"/>
      <c r="H8" s="284"/>
      <c r="I8" s="284"/>
      <c r="J8" s="284"/>
      <c r="K8" s="284"/>
      <c r="L8" s="284"/>
      <c r="M8" s="284"/>
      <c r="N8" s="284"/>
      <c r="O8" s="284"/>
      <c r="P8" s="284"/>
      <c r="Q8" s="284"/>
      <c r="R8" s="284"/>
      <c r="S8" s="284">
        <f t="shared" si="0"/>
        <v>0</v>
      </c>
      <c r="T8" s="274">
        <f t="shared" ca="1" si="1"/>
        <v>-3370</v>
      </c>
      <c r="U8" s="303">
        <v>41012</v>
      </c>
      <c r="V8" s="304" t="s">
        <v>847</v>
      </c>
      <c r="W8" s="315" t="s">
        <v>863</v>
      </c>
      <c r="X8" s="305"/>
      <c r="Y8" s="305"/>
      <c r="Z8" s="305"/>
      <c r="AA8" s="305"/>
      <c r="AB8" s="305"/>
      <c r="AC8" s="306"/>
      <c r="AD8" s="307">
        <v>40647</v>
      </c>
      <c r="AE8" s="278">
        <f t="shared" ref="AE8:AE14" ca="1" si="2">TODAY()-DATE(YEAR(AD8)+6,MONTH(AD8),DAY(AD8))</f>
        <v>1543</v>
      </c>
      <c r="AF8" s="299" t="s">
        <v>41</v>
      </c>
    </row>
    <row r="9" spans="1:32" s="311" customFormat="1" ht="30" customHeight="1" thickBot="1" x14ac:dyDescent="0.25">
      <c r="A9" s="299" t="s">
        <v>1049</v>
      </c>
      <c r="B9" s="299" t="s">
        <v>23</v>
      </c>
      <c r="C9" s="299" t="s">
        <v>61</v>
      </c>
      <c r="D9" s="301" t="s">
        <v>1050</v>
      </c>
      <c r="E9" s="301" t="s">
        <v>1051</v>
      </c>
      <c r="F9" s="302">
        <v>13800</v>
      </c>
      <c r="G9" s="284"/>
      <c r="H9" s="284"/>
      <c r="I9" s="284">
        <v>13800</v>
      </c>
      <c r="J9" s="284"/>
      <c r="K9" s="284"/>
      <c r="L9" s="284"/>
      <c r="M9" s="284"/>
      <c r="N9" s="284"/>
      <c r="O9" s="284"/>
      <c r="P9" s="284"/>
      <c r="Q9" s="284"/>
      <c r="R9" s="284"/>
      <c r="S9" s="284">
        <f t="shared" si="0"/>
        <v>13800</v>
      </c>
      <c r="T9" s="274">
        <f t="shared" ca="1" si="1"/>
        <v>-3339</v>
      </c>
      <c r="U9" s="303">
        <v>41043</v>
      </c>
      <c r="V9" s="304" t="s">
        <v>1052</v>
      </c>
      <c r="W9" s="315" t="s">
        <v>731</v>
      </c>
      <c r="X9" s="305"/>
      <c r="Y9" s="305"/>
      <c r="Z9" s="305"/>
      <c r="AA9" s="305"/>
      <c r="AB9" s="305"/>
      <c r="AC9" s="306"/>
      <c r="AD9" s="307">
        <v>40983</v>
      </c>
      <c r="AE9" s="278">
        <f t="shared" ca="1" si="2"/>
        <v>1208</v>
      </c>
      <c r="AF9" s="299" t="s">
        <v>169</v>
      </c>
    </row>
    <row r="10" spans="1:32" s="311" customFormat="1" ht="30" customHeight="1" thickBot="1" x14ac:dyDescent="0.25">
      <c r="A10" s="299" t="s">
        <v>682</v>
      </c>
      <c r="B10" s="299" t="s">
        <v>683</v>
      </c>
      <c r="C10" s="299" t="s">
        <v>37</v>
      </c>
      <c r="D10" s="301" t="s">
        <v>684</v>
      </c>
      <c r="E10" s="301" t="s">
        <v>685</v>
      </c>
      <c r="F10" s="302" t="s">
        <v>686</v>
      </c>
      <c r="G10" s="284">
        <v>1491.9</v>
      </c>
      <c r="H10" s="284"/>
      <c r="I10" s="284"/>
      <c r="J10" s="284"/>
      <c r="K10" s="284">
        <v>1481.9</v>
      </c>
      <c r="L10" s="284"/>
      <c r="M10" s="284"/>
      <c r="N10" s="284"/>
      <c r="O10" s="284"/>
      <c r="P10" s="284"/>
      <c r="Q10" s="284"/>
      <c r="R10" s="284"/>
      <c r="S10" s="284">
        <f t="shared" si="0"/>
        <v>2973.8</v>
      </c>
      <c r="T10" s="274">
        <f t="shared" ca="1" si="1"/>
        <v>-3315</v>
      </c>
      <c r="U10" s="303">
        <v>41067</v>
      </c>
      <c r="V10" s="304" t="s">
        <v>854</v>
      </c>
      <c r="W10" s="315" t="s">
        <v>741</v>
      </c>
      <c r="X10" s="305"/>
      <c r="Y10" s="305"/>
      <c r="Z10" s="305"/>
      <c r="AA10" s="305"/>
      <c r="AB10" s="305"/>
      <c r="AC10" s="306"/>
      <c r="AD10" s="307">
        <v>40336</v>
      </c>
      <c r="AE10" s="278">
        <f t="shared" ca="1" si="2"/>
        <v>1854</v>
      </c>
      <c r="AF10" s="299">
        <v>1</v>
      </c>
    </row>
    <row r="11" spans="1:32" s="311" customFormat="1" ht="30" customHeight="1" thickBot="1" x14ac:dyDescent="0.25">
      <c r="A11" s="299" t="s">
        <v>589</v>
      </c>
      <c r="B11" s="299" t="s">
        <v>590</v>
      </c>
      <c r="C11" s="299" t="s">
        <v>56</v>
      </c>
      <c r="D11" s="301" t="s">
        <v>138</v>
      </c>
      <c r="E11" s="301" t="s">
        <v>591</v>
      </c>
      <c r="F11" s="302" t="s">
        <v>1110</v>
      </c>
      <c r="G11" s="284">
        <v>607.75</v>
      </c>
      <c r="H11" s="284">
        <v>607.75</v>
      </c>
      <c r="I11" s="284">
        <v>607.75</v>
      </c>
      <c r="J11" s="284">
        <v>607.75</v>
      </c>
      <c r="K11" s="284">
        <v>607.75</v>
      </c>
      <c r="L11" s="284">
        <v>607.75</v>
      </c>
      <c r="M11" s="284">
        <v>629.75</v>
      </c>
      <c r="N11" s="284">
        <v>629.75</v>
      </c>
      <c r="O11" s="284">
        <v>629.85</v>
      </c>
      <c r="P11" s="284">
        <v>629.85</v>
      </c>
      <c r="Q11" s="284">
        <v>629.95000000000005</v>
      </c>
      <c r="R11" s="284">
        <v>629.95000000000005</v>
      </c>
      <c r="S11" s="284">
        <f t="shared" si="0"/>
        <v>7425.6</v>
      </c>
      <c r="T11" s="274">
        <f t="shared" ca="1" si="1"/>
        <v>-2949</v>
      </c>
      <c r="U11" s="303">
        <v>41433</v>
      </c>
      <c r="V11" s="304" t="s">
        <v>1111</v>
      </c>
      <c r="W11" s="315" t="s">
        <v>740</v>
      </c>
      <c r="X11" s="305"/>
      <c r="Y11" s="305"/>
      <c r="Z11" s="305"/>
      <c r="AA11" s="305"/>
      <c r="AB11" s="305"/>
      <c r="AC11" s="306"/>
      <c r="AD11" s="307">
        <v>39973</v>
      </c>
      <c r="AE11" s="278">
        <f t="shared" ca="1" si="2"/>
        <v>2218</v>
      </c>
      <c r="AF11" s="299" t="s">
        <v>48</v>
      </c>
    </row>
    <row r="12" spans="1:32" s="504" customFormat="1" ht="30" customHeight="1" thickBot="1" x14ac:dyDescent="0.25">
      <c r="A12" s="492" t="s">
        <v>579</v>
      </c>
      <c r="B12" s="492" t="s">
        <v>23</v>
      </c>
      <c r="C12" s="492" t="s">
        <v>56</v>
      </c>
      <c r="D12" s="493" t="s">
        <v>580</v>
      </c>
      <c r="E12" s="493" t="s">
        <v>581</v>
      </c>
      <c r="F12" s="494" t="s">
        <v>1107</v>
      </c>
      <c r="G12" s="495">
        <v>180.95</v>
      </c>
      <c r="H12" s="495">
        <v>180.95</v>
      </c>
      <c r="I12" s="495">
        <v>180.95</v>
      </c>
      <c r="J12" s="495">
        <v>180.95</v>
      </c>
      <c r="K12" s="495">
        <v>180.95</v>
      </c>
      <c r="L12" s="495">
        <v>180.95</v>
      </c>
      <c r="M12" s="495">
        <v>370.4</v>
      </c>
      <c r="N12" s="495"/>
      <c r="O12" s="495">
        <v>289.79000000000002</v>
      </c>
      <c r="P12" s="495">
        <v>189.79</v>
      </c>
      <c r="Q12" s="495">
        <v>189.79</v>
      </c>
      <c r="R12" s="495">
        <v>189.79</v>
      </c>
      <c r="S12" s="495">
        <f t="shared" si="0"/>
        <v>2315.2599999999998</v>
      </c>
      <c r="T12" s="496">
        <f t="shared" ca="1" si="1"/>
        <v>-2943</v>
      </c>
      <c r="U12" s="491">
        <v>41439</v>
      </c>
      <c r="V12" s="498" t="s">
        <v>1109</v>
      </c>
      <c r="W12" s="499" t="s">
        <v>742</v>
      </c>
      <c r="X12" s="500"/>
      <c r="Y12" s="500"/>
      <c r="Z12" s="500"/>
      <c r="AA12" s="500"/>
      <c r="AB12" s="500"/>
      <c r="AC12" s="501"/>
      <c r="AD12" s="502">
        <v>39979</v>
      </c>
      <c r="AE12" s="503">
        <f t="shared" ca="1" si="2"/>
        <v>2212</v>
      </c>
      <c r="AF12" s="492" t="s">
        <v>48</v>
      </c>
    </row>
    <row r="13" spans="1:32" s="504" customFormat="1" ht="30" customHeight="1" thickBot="1" x14ac:dyDescent="0.25">
      <c r="A13" s="492" t="s">
        <v>360</v>
      </c>
      <c r="B13" s="492" t="s">
        <v>23</v>
      </c>
      <c r="C13" s="492" t="s">
        <v>61</v>
      </c>
      <c r="D13" s="493" t="s">
        <v>212</v>
      </c>
      <c r="E13" s="493" t="s">
        <v>361</v>
      </c>
      <c r="F13" s="494">
        <v>7297.32</v>
      </c>
      <c r="G13" s="495">
        <v>557.35</v>
      </c>
      <c r="H13" s="495">
        <v>586.67999999999995</v>
      </c>
      <c r="I13" s="495">
        <v>586.67999999999995</v>
      </c>
      <c r="J13" s="495">
        <v>586.67999999999995</v>
      </c>
      <c r="K13" s="495">
        <v>586.67999999999995</v>
      </c>
      <c r="L13" s="495">
        <v>586.67999999999995</v>
      </c>
      <c r="M13" s="495">
        <v>586.67999999999995</v>
      </c>
      <c r="N13" s="495">
        <v>586.67999999999995</v>
      </c>
      <c r="O13" s="495">
        <v>586.67999999999995</v>
      </c>
      <c r="P13" s="495">
        <v>586.67999999999995</v>
      </c>
      <c r="Q13" s="495">
        <v>586.67999999999995</v>
      </c>
      <c r="R13" s="495">
        <v>586.67999999999995</v>
      </c>
      <c r="S13" s="495">
        <f t="shared" si="0"/>
        <v>7010.8300000000008</v>
      </c>
      <c r="T13" s="496">
        <f t="shared" ca="1" si="1"/>
        <v>-2574</v>
      </c>
      <c r="U13" s="491">
        <v>41808</v>
      </c>
      <c r="V13" s="498" t="s">
        <v>1255</v>
      </c>
      <c r="W13" s="499" t="s">
        <v>726</v>
      </c>
      <c r="X13" s="500"/>
      <c r="Y13" s="500"/>
      <c r="Z13" s="500"/>
      <c r="AA13" s="500"/>
      <c r="AB13" s="500"/>
      <c r="AC13" s="501"/>
      <c r="AD13" s="502">
        <v>39617</v>
      </c>
      <c r="AE13" s="503">
        <f t="shared" ca="1" si="2"/>
        <v>2574</v>
      </c>
      <c r="AF13" s="492" t="s">
        <v>48</v>
      </c>
    </row>
    <row r="14" spans="1:32" s="504" customFormat="1" ht="30" customHeight="1" thickBot="1" x14ac:dyDescent="0.25">
      <c r="A14" s="492" t="s">
        <v>356</v>
      </c>
      <c r="B14" s="492" t="s">
        <v>23</v>
      </c>
      <c r="C14" s="492" t="s">
        <v>61</v>
      </c>
      <c r="D14" s="493" t="s">
        <v>62</v>
      </c>
      <c r="E14" s="493" t="s">
        <v>357</v>
      </c>
      <c r="F14" s="494">
        <v>8004.24</v>
      </c>
      <c r="G14" s="495">
        <v>667.02</v>
      </c>
      <c r="H14" s="495"/>
      <c r="I14" s="495">
        <v>1207.78</v>
      </c>
      <c r="J14" s="495">
        <v>667.02</v>
      </c>
      <c r="K14" s="495">
        <v>1334.04</v>
      </c>
      <c r="L14" s="495"/>
      <c r="M14" s="495">
        <v>1334.04</v>
      </c>
      <c r="N14" s="495"/>
      <c r="O14" s="495">
        <v>667.02</v>
      </c>
      <c r="P14" s="495">
        <v>667.02</v>
      </c>
      <c r="Q14" s="495">
        <v>667.02</v>
      </c>
      <c r="R14" s="495">
        <v>667.02</v>
      </c>
      <c r="S14" s="495">
        <f t="shared" si="0"/>
        <v>7877.9800000000014</v>
      </c>
      <c r="T14" s="496">
        <f t="shared" ca="1" si="1"/>
        <v>-2937</v>
      </c>
      <c r="U14" s="491">
        <v>41445</v>
      </c>
      <c r="V14" s="498" t="s">
        <v>1108</v>
      </c>
      <c r="W14" s="499" t="s">
        <v>743</v>
      </c>
      <c r="X14" s="500"/>
      <c r="Y14" s="500"/>
      <c r="Z14" s="500"/>
      <c r="AA14" s="500"/>
      <c r="AB14" s="500"/>
      <c r="AC14" s="501"/>
      <c r="AD14" s="502">
        <v>39619</v>
      </c>
      <c r="AE14" s="503">
        <f t="shared" ca="1" si="2"/>
        <v>2572</v>
      </c>
      <c r="AF14" s="492" t="s">
        <v>48</v>
      </c>
    </row>
    <row r="15" spans="1:32" s="311" customFormat="1" ht="30" customHeight="1" thickBot="1" x14ac:dyDescent="0.25">
      <c r="A15" s="348" t="s">
        <v>1058</v>
      </c>
      <c r="B15" s="299" t="s">
        <v>23</v>
      </c>
      <c r="C15" s="299" t="s">
        <v>56</v>
      </c>
      <c r="D15" s="349" t="s">
        <v>38</v>
      </c>
      <c r="E15" s="349" t="s">
        <v>1059</v>
      </c>
      <c r="F15" s="302" t="s">
        <v>1060</v>
      </c>
      <c r="G15" s="284"/>
      <c r="H15" s="284"/>
      <c r="I15" s="284"/>
      <c r="J15" s="284"/>
      <c r="K15" s="284">
        <v>7860</v>
      </c>
      <c r="L15" s="284"/>
      <c r="M15" s="284"/>
      <c r="N15" s="284"/>
      <c r="O15" s="284"/>
      <c r="P15" s="284"/>
      <c r="Q15" s="284"/>
      <c r="R15" s="284"/>
      <c r="S15" s="284">
        <f t="shared" si="0"/>
        <v>7860</v>
      </c>
      <c r="T15" s="274">
        <f t="shared" ca="1" si="1"/>
        <v>-3296</v>
      </c>
      <c r="U15" s="303">
        <v>41086</v>
      </c>
      <c r="V15" s="304" t="s">
        <v>1061</v>
      </c>
      <c r="W15" s="315" t="s">
        <v>731</v>
      </c>
      <c r="X15" s="305"/>
      <c r="Y15" s="305"/>
      <c r="Z15" s="305"/>
      <c r="AA15" s="305"/>
      <c r="AB15" s="305"/>
      <c r="AC15" s="306"/>
      <c r="AD15" s="307">
        <v>41026</v>
      </c>
      <c r="AE15" s="278"/>
      <c r="AF15" s="299" t="s">
        <v>41</v>
      </c>
    </row>
    <row r="16" spans="1:32" s="504" customFormat="1" ht="30" customHeight="1" thickBot="1" x14ac:dyDescent="0.25">
      <c r="A16" s="492" t="s">
        <v>363</v>
      </c>
      <c r="B16" s="533" t="s">
        <v>364</v>
      </c>
      <c r="C16" s="492" t="s">
        <v>37</v>
      </c>
      <c r="D16" s="493" t="s">
        <v>1297</v>
      </c>
      <c r="E16" s="493" t="s">
        <v>366</v>
      </c>
      <c r="F16" s="494">
        <v>28531.68</v>
      </c>
      <c r="G16" s="495"/>
      <c r="H16" s="495"/>
      <c r="I16" s="495"/>
      <c r="J16" s="495"/>
      <c r="K16" s="495"/>
      <c r="L16" s="495"/>
      <c r="M16" s="495"/>
      <c r="N16" s="495"/>
      <c r="O16" s="495"/>
      <c r="P16" s="495"/>
      <c r="Q16" s="495"/>
      <c r="R16" s="495"/>
      <c r="S16" s="495">
        <f t="shared" si="0"/>
        <v>0</v>
      </c>
      <c r="T16" s="496">
        <f ca="1">U16-$AE$2</f>
        <v>-2903</v>
      </c>
      <c r="U16" s="491">
        <v>41479</v>
      </c>
      <c r="V16" s="498" t="s">
        <v>1112</v>
      </c>
      <c r="W16" s="499" t="s">
        <v>744</v>
      </c>
      <c r="X16" s="500"/>
      <c r="Y16" s="500"/>
      <c r="Z16" s="500"/>
      <c r="AA16" s="500"/>
      <c r="AB16" s="500"/>
      <c r="AC16" s="501"/>
      <c r="AD16" s="502">
        <v>39288</v>
      </c>
      <c r="AE16" s="503">
        <f ca="1">TODAY()-DATE(YEAR(AD16)+6,MONTH(AD16),DAY(AD16))</f>
        <v>2902</v>
      </c>
      <c r="AF16" s="492" t="s">
        <v>96</v>
      </c>
    </row>
    <row r="17" spans="1:32" s="311" customFormat="1" ht="30" customHeight="1" thickBot="1" x14ac:dyDescent="0.25">
      <c r="A17" s="348" t="s">
        <v>1062</v>
      </c>
      <c r="B17" s="299" t="s">
        <v>23</v>
      </c>
      <c r="C17" s="299" t="s">
        <v>372</v>
      </c>
      <c r="D17" s="349" t="s">
        <v>176</v>
      </c>
      <c r="E17" s="349" t="s">
        <v>1063</v>
      </c>
      <c r="F17" s="469" t="s">
        <v>1064</v>
      </c>
      <c r="G17" s="284">
        <v>0</v>
      </c>
      <c r="H17" s="284">
        <v>0</v>
      </c>
      <c r="I17" s="284">
        <v>0</v>
      </c>
      <c r="J17" s="284">
        <v>0</v>
      </c>
      <c r="K17" s="284">
        <v>0</v>
      </c>
      <c r="L17" s="284">
        <v>0</v>
      </c>
      <c r="M17" s="284">
        <v>0</v>
      </c>
      <c r="N17" s="284">
        <v>0</v>
      </c>
      <c r="O17" s="284">
        <v>0</v>
      </c>
      <c r="P17" s="284">
        <v>0</v>
      </c>
      <c r="Q17" s="284">
        <v>0</v>
      </c>
      <c r="R17" s="284">
        <v>0</v>
      </c>
      <c r="S17" s="284">
        <f t="shared" si="0"/>
        <v>0</v>
      </c>
      <c r="T17" s="274">
        <f t="shared" ca="1" si="1"/>
        <v>-3053</v>
      </c>
      <c r="U17" s="303">
        <v>41329</v>
      </c>
      <c r="V17" s="304" t="s">
        <v>1153</v>
      </c>
      <c r="W17" s="315" t="s">
        <v>729</v>
      </c>
      <c r="X17" s="305"/>
      <c r="Y17" s="305"/>
      <c r="Z17" s="305"/>
      <c r="AA17" s="305"/>
      <c r="AB17" s="305"/>
      <c r="AC17" s="306"/>
      <c r="AD17" s="307">
        <v>40969</v>
      </c>
      <c r="AE17" s="278"/>
      <c r="AF17" s="299" t="s">
        <v>179</v>
      </c>
    </row>
    <row r="18" spans="1:32" s="504" customFormat="1" ht="29.25" customHeight="1" thickBot="1" x14ac:dyDescent="0.25">
      <c r="A18" s="492" t="s">
        <v>286</v>
      </c>
      <c r="B18" s="533" t="s">
        <v>251</v>
      </c>
      <c r="C18" s="492" t="s">
        <v>37</v>
      </c>
      <c r="D18" s="493" t="s">
        <v>287</v>
      </c>
      <c r="E18" s="493" t="s">
        <v>288</v>
      </c>
      <c r="F18" s="494" t="s">
        <v>921</v>
      </c>
      <c r="G18" s="495"/>
      <c r="H18" s="495"/>
      <c r="I18" s="495"/>
      <c r="J18" s="495"/>
      <c r="K18" s="495"/>
      <c r="L18" s="495"/>
      <c r="M18" s="495"/>
      <c r="N18" s="495"/>
      <c r="O18" s="495"/>
      <c r="P18" s="495"/>
      <c r="Q18" s="495"/>
      <c r="R18" s="495"/>
      <c r="S18" s="495">
        <f t="shared" si="0"/>
        <v>0</v>
      </c>
      <c r="T18" s="496">
        <f t="shared" ca="1" si="1"/>
        <v>-2891</v>
      </c>
      <c r="U18" s="497">
        <v>41491</v>
      </c>
      <c r="V18" s="498" t="s">
        <v>1231</v>
      </c>
      <c r="W18" s="499" t="s">
        <v>723</v>
      </c>
      <c r="X18" s="500"/>
      <c r="Y18" s="500"/>
      <c r="Z18" s="500"/>
      <c r="AA18" s="500"/>
      <c r="AB18" s="500"/>
      <c r="AC18" s="501"/>
      <c r="AD18" s="502">
        <v>39300</v>
      </c>
      <c r="AE18" s="503">
        <f t="shared" ref="AE18:AE29" ca="1" si="3">TODAY()-DATE(YEAR(AD18)+6,MONTH(AD18),DAY(AD18))</f>
        <v>2890</v>
      </c>
      <c r="AF18" s="492" t="s">
        <v>649</v>
      </c>
    </row>
    <row r="19" spans="1:32" s="504" customFormat="1" ht="30" customHeight="1" thickBot="1" x14ac:dyDescent="0.25">
      <c r="A19" s="492" t="s">
        <v>1257</v>
      </c>
      <c r="B19" s="533" t="s">
        <v>585</v>
      </c>
      <c r="C19" s="492" t="s">
        <v>613</v>
      </c>
      <c r="D19" s="493" t="s">
        <v>586</v>
      </c>
      <c r="E19" s="493" t="s">
        <v>1252</v>
      </c>
      <c r="F19" s="494">
        <v>1124178.1200000001</v>
      </c>
      <c r="G19" s="495">
        <v>83109.17</v>
      </c>
      <c r="H19" s="495">
        <v>84881.02</v>
      </c>
      <c r="I19" s="495">
        <v>83626.28</v>
      </c>
      <c r="J19" s="495">
        <v>84934.79</v>
      </c>
      <c r="K19" s="495">
        <v>82851.960000000006</v>
      </c>
      <c r="L19" s="495">
        <v>86452.25</v>
      </c>
      <c r="M19" s="495">
        <v>85174.89</v>
      </c>
      <c r="N19" s="495">
        <v>90892.3</v>
      </c>
      <c r="O19" s="495">
        <v>89051.5</v>
      </c>
      <c r="P19" s="495">
        <v>87225.78</v>
      </c>
      <c r="Q19" s="495">
        <v>109273.33</v>
      </c>
      <c r="R19" s="495">
        <v>141185.98000000001</v>
      </c>
      <c r="S19" s="495">
        <f t="shared" si="0"/>
        <v>1108659.25</v>
      </c>
      <c r="T19" s="496">
        <f t="shared" ca="1" si="1"/>
        <v>-2520</v>
      </c>
      <c r="U19" s="491">
        <v>41862</v>
      </c>
      <c r="V19" s="498" t="s">
        <v>1258</v>
      </c>
      <c r="W19" s="499" t="s">
        <v>733</v>
      </c>
      <c r="X19" s="500"/>
      <c r="Y19" s="500"/>
      <c r="Z19" s="500"/>
      <c r="AA19" s="500"/>
      <c r="AB19" s="500"/>
      <c r="AC19" s="501"/>
      <c r="AD19" s="502">
        <v>40037</v>
      </c>
      <c r="AE19" s="503">
        <f t="shared" ca="1" si="3"/>
        <v>2154</v>
      </c>
      <c r="AF19" s="492" t="s">
        <v>96</v>
      </c>
    </row>
    <row r="20" spans="1:32" s="311" customFormat="1" ht="30" customHeight="1" thickBot="1" x14ac:dyDescent="0.25">
      <c r="A20" s="299" t="s">
        <v>412</v>
      </c>
      <c r="B20" s="299" t="s">
        <v>413</v>
      </c>
      <c r="C20" s="299" t="s">
        <v>613</v>
      </c>
      <c r="D20" s="301" t="s">
        <v>414</v>
      </c>
      <c r="E20" s="301" t="s">
        <v>415</v>
      </c>
      <c r="F20" s="302">
        <v>90271.1</v>
      </c>
      <c r="G20" s="284"/>
      <c r="H20" s="284"/>
      <c r="I20" s="284"/>
      <c r="J20" s="284">
        <v>139893.6</v>
      </c>
      <c r="K20" s="284"/>
      <c r="L20" s="284"/>
      <c r="M20" s="284"/>
      <c r="N20" s="284"/>
      <c r="O20" s="284"/>
      <c r="P20" s="284"/>
      <c r="Q20" s="284"/>
      <c r="R20" s="284"/>
      <c r="S20" s="284">
        <f t="shared" si="0"/>
        <v>139893.6</v>
      </c>
      <c r="T20" s="274">
        <f t="shared" ca="1" si="1"/>
        <v>-3241</v>
      </c>
      <c r="U20" s="303">
        <v>41141</v>
      </c>
      <c r="V20" s="304" t="s">
        <v>771</v>
      </c>
      <c r="W20" s="315" t="s">
        <v>756</v>
      </c>
      <c r="X20" s="305"/>
      <c r="Y20" s="305"/>
      <c r="Z20" s="305"/>
      <c r="AA20" s="305"/>
      <c r="AB20" s="305"/>
      <c r="AC20" s="306"/>
      <c r="AD20" s="307">
        <v>39680</v>
      </c>
      <c r="AE20" s="278">
        <f t="shared" ca="1" si="3"/>
        <v>2511</v>
      </c>
      <c r="AF20" s="299" t="s">
        <v>41</v>
      </c>
    </row>
    <row r="21" spans="1:32" s="311" customFormat="1" ht="30" customHeight="1" thickBot="1" x14ac:dyDescent="0.25">
      <c r="A21" s="299" t="s">
        <v>488</v>
      </c>
      <c r="B21" s="300" t="s">
        <v>251</v>
      </c>
      <c r="C21" s="299" t="s">
        <v>613</v>
      </c>
      <c r="D21" s="301" t="s">
        <v>44</v>
      </c>
      <c r="E21" s="301" t="s">
        <v>1169</v>
      </c>
      <c r="F21" s="302">
        <v>136803.69</v>
      </c>
      <c r="G21" s="284">
        <v>13638.64</v>
      </c>
      <c r="H21" s="284">
        <v>33123.06</v>
      </c>
      <c r="I21" s="284">
        <v>1609.56</v>
      </c>
      <c r="J21" s="284">
        <v>14783.62</v>
      </c>
      <c r="K21" s="284">
        <v>15167.3</v>
      </c>
      <c r="L21" s="284">
        <v>15309.25</v>
      </c>
      <c r="M21" s="284">
        <v>19614.3</v>
      </c>
      <c r="N21" s="284">
        <v>15518.43</v>
      </c>
      <c r="O21" s="284">
        <v>15417.47</v>
      </c>
      <c r="P21" s="284">
        <v>15379.65</v>
      </c>
      <c r="Q21" s="284">
        <v>15607</v>
      </c>
      <c r="R21" s="284">
        <v>15217.05</v>
      </c>
      <c r="S21" s="284">
        <f t="shared" si="0"/>
        <v>190385.33</v>
      </c>
      <c r="T21" s="274">
        <f t="shared" ca="1" si="1"/>
        <v>-2863</v>
      </c>
      <c r="U21" s="303">
        <v>41519</v>
      </c>
      <c r="V21" s="304" t="s">
        <v>1178</v>
      </c>
      <c r="W21" s="315" t="s">
        <v>746</v>
      </c>
      <c r="X21" s="305"/>
      <c r="Y21" s="305"/>
      <c r="Z21" s="305"/>
      <c r="AA21" s="305"/>
      <c r="AB21" s="305"/>
      <c r="AC21" s="306"/>
      <c r="AD21" s="307">
        <v>39328</v>
      </c>
      <c r="AE21" s="278">
        <f t="shared" ca="1" si="3"/>
        <v>2862</v>
      </c>
      <c r="AF21" s="299" t="s">
        <v>48</v>
      </c>
    </row>
    <row r="22" spans="1:32" s="311" customFormat="1" ht="30" customHeight="1" thickBot="1" x14ac:dyDescent="0.25">
      <c r="A22" s="299" t="s">
        <v>515</v>
      </c>
      <c r="B22" s="300" t="s">
        <v>23</v>
      </c>
      <c r="C22" s="326" t="s">
        <v>56</v>
      </c>
      <c r="D22" s="301" t="s">
        <v>516</v>
      </c>
      <c r="E22" s="301" t="s">
        <v>517</v>
      </c>
      <c r="F22" s="302">
        <v>18210.36</v>
      </c>
      <c r="G22" s="284">
        <v>1503.86</v>
      </c>
      <c r="H22" s="284">
        <v>1503.86</v>
      </c>
      <c r="I22" s="284">
        <v>1503.86</v>
      </c>
      <c r="J22" s="284">
        <v>1517.53</v>
      </c>
      <c r="K22" s="284">
        <v>1531.2</v>
      </c>
      <c r="L22" s="284">
        <v>1531.2</v>
      </c>
      <c r="M22" s="284"/>
      <c r="N22" s="284">
        <v>3160.49</v>
      </c>
      <c r="O22" s="284">
        <v>1572.21</v>
      </c>
      <c r="P22" s="284">
        <v>1599.56</v>
      </c>
      <c r="Q22" s="284">
        <v>1682.73</v>
      </c>
      <c r="R22" s="284">
        <v>1697.12</v>
      </c>
      <c r="S22" s="284">
        <f t="shared" si="0"/>
        <v>18803.62</v>
      </c>
      <c r="T22" s="274">
        <f t="shared" ca="1" si="1"/>
        <v>-3200</v>
      </c>
      <c r="U22" s="309">
        <v>41182</v>
      </c>
      <c r="V22" s="304" t="s">
        <v>987</v>
      </c>
      <c r="W22" s="315" t="s">
        <v>747</v>
      </c>
      <c r="X22" s="305"/>
      <c r="Y22" s="305"/>
      <c r="Z22" s="305"/>
      <c r="AA22" s="305"/>
      <c r="AB22" s="305"/>
      <c r="AC22" s="306"/>
      <c r="AD22" s="307">
        <v>39722</v>
      </c>
      <c r="AE22" s="278">
        <f t="shared" ca="1" si="3"/>
        <v>2469</v>
      </c>
      <c r="AF22" s="299" t="s">
        <v>96</v>
      </c>
    </row>
    <row r="23" spans="1:32" s="311" customFormat="1" ht="30" customHeight="1" thickBot="1" x14ac:dyDescent="0.25">
      <c r="A23" s="299" t="s">
        <v>259</v>
      </c>
      <c r="B23" s="299" t="s">
        <v>23</v>
      </c>
      <c r="C23" s="299" t="s">
        <v>24</v>
      </c>
      <c r="D23" s="301" t="s">
        <v>260</v>
      </c>
      <c r="E23" s="301" t="s">
        <v>656</v>
      </c>
      <c r="F23" s="302" t="s">
        <v>842</v>
      </c>
      <c r="G23" s="284"/>
      <c r="H23" s="284">
        <v>2590.96</v>
      </c>
      <c r="I23" s="284">
        <v>18528.96</v>
      </c>
      <c r="J23" s="284">
        <v>11724.19</v>
      </c>
      <c r="K23" s="284">
        <v>12440.15</v>
      </c>
      <c r="L23" s="284"/>
      <c r="M23" s="284">
        <v>23945.13</v>
      </c>
      <c r="N23" s="284">
        <v>11203.88</v>
      </c>
      <c r="O23" s="284">
        <v>3361.04</v>
      </c>
      <c r="P23" s="284">
        <v>18198.099999999999</v>
      </c>
      <c r="Q23" s="284">
        <v>10229.06</v>
      </c>
      <c r="R23" s="284">
        <v>11099.46</v>
      </c>
      <c r="S23" s="284">
        <f t="shared" si="0"/>
        <v>123320.93</v>
      </c>
      <c r="T23" s="274">
        <f t="shared" ca="1" si="1"/>
        <v>-3200</v>
      </c>
      <c r="U23" s="309">
        <v>41182</v>
      </c>
      <c r="V23" s="304" t="s">
        <v>949</v>
      </c>
      <c r="W23" s="310" t="s">
        <v>841</v>
      </c>
      <c r="X23" s="305"/>
      <c r="Y23" s="305"/>
      <c r="Z23" s="305"/>
      <c r="AA23" s="305"/>
      <c r="AB23" s="305"/>
      <c r="AC23" s="306"/>
      <c r="AD23" s="307">
        <v>39356</v>
      </c>
      <c r="AE23" s="278">
        <f t="shared" ca="1" si="3"/>
        <v>2834</v>
      </c>
      <c r="AF23" s="299" t="s">
        <v>34</v>
      </c>
    </row>
    <row r="24" spans="1:32" s="504" customFormat="1" ht="30" customHeight="1" thickBot="1" x14ac:dyDescent="0.25">
      <c r="A24" s="492" t="s">
        <v>616</v>
      </c>
      <c r="B24" s="492" t="s">
        <v>600</v>
      </c>
      <c r="C24" s="492" t="s">
        <v>617</v>
      </c>
      <c r="D24" s="493" t="s">
        <v>618</v>
      </c>
      <c r="E24" s="493" t="s">
        <v>654</v>
      </c>
      <c r="F24" s="494" t="s">
        <v>655</v>
      </c>
      <c r="G24" s="495">
        <v>1803.65</v>
      </c>
      <c r="H24" s="495">
        <v>2495.1999999999998</v>
      </c>
      <c r="I24" s="495">
        <v>2048.79</v>
      </c>
      <c r="J24" s="495">
        <v>2756.15</v>
      </c>
      <c r="K24" s="495"/>
      <c r="L24" s="495"/>
      <c r="M24" s="495"/>
      <c r="N24" s="495"/>
      <c r="O24" s="495"/>
      <c r="P24" s="495"/>
      <c r="Q24" s="495"/>
      <c r="R24" s="495"/>
      <c r="S24" s="495">
        <f t="shared" si="0"/>
        <v>9103.7900000000009</v>
      </c>
      <c r="T24" s="496">
        <f t="shared" ca="1" si="1"/>
        <v>-2826</v>
      </c>
      <c r="U24" s="497">
        <v>41556</v>
      </c>
      <c r="V24" s="498" t="s">
        <v>1133</v>
      </c>
      <c r="W24" s="499" t="s">
        <v>748</v>
      </c>
      <c r="X24" s="500"/>
      <c r="Y24" s="500"/>
      <c r="Z24" s="500"/>
      <c r="AA24" s="500"/>
      <c r="AB24" s="500"/>
      <c r="AC24" s="501"/>
      <c r="AD24" s="502">
        <v>40095</v>
      </c>
      <c r="AE24" s="503">
        <f t="shared" ca="1" si="3"/>
        <v>2096</v>
      </c>
      <c r="AF24" s="492" t="s">
        <v>48</v>
      </c>
    </row>
    <row r="25" spans="1:32" s="311" customFormat="1" ht="30" customHeight="1" thickBot="1" x14ac:dyDescent="0.25">
      <c r="A25" s="299" t="s">
        <v>215</v>
      </c>
      <c r="B25" s="299" t="s">
        <v>23</v>
      </c>
      <c r="C25" s="299" t="s">
        <v>24</v>
      </c>
      <c r="D25" s="301" t="s">
        <v>216</v>
      </c>
      <c r="E25" s="301" t="s">
        <v>217</v>
      </c>
      <c r="F25" s="302" t="s">
        <v>375</v>
      </c>
      <c r="G25" s="284">
        <v>223.6</v>
      </c>
      <c r="H25" s="284">
        <v>145.6</v>
      </c>
      <c r="I25" s="284">
        <v>191.1</v>
      </c>
      <c r="J25" s="284"/>
      <c r="K25" s="284">
        <v>91</v>
      </c>
      <c r="L25" s="284">
        <v>265.2</v>
      </c>
      <c r="M25" s="284"/>
      <c r="N25" s="284"/>
      <c r="O25" s="284"/>
      <c r="P25" s="284">
        <v>461.5</v>
      </c>
      <c r="Q25" s="284">
        <v>152.1</v>
      </c>
      <c r="R25" s="284">
        <v>120.9</v>
      </c>
      <c r="S25" s="284">
        <f t="shared" si="0"/>
        <v>1651</v>
      </c>
      <c r="T25" s="274">
        <f t="shared" ca="1" si="1"/>
        <v>-3184</v>
      </c>
      <c r="U25" s="303">
        <v>41198</v>
      </c>
      <c r="V25" s="304" t="s">
        <v>561</v>
      </c>
      <c r="W25" s="315" t="s">
        <v>757</v>
      </c>
      <c r="X25" s="305"/>
      <c r="Y25" s="305"/>
      <c r="Z25" s="305"/>
      <c r="AA25" s="305"/>
      <c r="AB25" s="305"/>
      <c r="AC25" s="306"/>
      <c r="AD25" s="307">
        <v>39737</v>
      </c>
      <c r="AE25" s="278">
        <f t="shared" ca="1" si="3"/>
        <v>2454</v>
      </c>
      <c r="AF25" s="299" t="s">
        <v>169</v>
      </c>
    </row>
    <row r="26" spans="1:32" s="504" customFormat="1" ht="30" customHeight="1" thickBot="1" x14ac:dyDescent="0.25">
      <c r="A26" s="492" t="s">
        <v>711</v>
      </c>
      <c r="B26" s="492" t="s">
        <v>23</v>
      </c>
      <c r="C26" s="492" t="s">
        <v>61</v>
      </c>
      <c r="D26" s="493" t="s">
        <v>98</v>
      </c>
      <c r="E26" s="493" t="s">
        <v>712</v>
      </c>
      <c r="F26" s="494" t="s">
        <v>713</v>
      </c>
      <c r="G26" s="495">
        <v>50.5</v>
      </c>
      <c r="H26" s="495">
        <v>283</v>
      </c>
      <c r="I26" s="495">
        <v>232.5</v>
      </c>
      <c r="J26" s="495">
        <v>673.15</v>
      </c>
      <c r="K26" s="495">
        <v>77.599999999999994</v>
      </c>
      <c r="L26" s="495">
        <v>350.08</v>
      </c>
      <c r="M26" s="495">
        <v>492</v>
      </c>
      <c r="N26" s="495">
        <v>522</v>
      </c>
      <c r="O26" s="495">
        <v>4698.5</v>
      </c>
      <c r="P26" s="495">
        <v>728</v>
      </c>
      <c r="Q26" s="495">
        <v>266</v>
      </c>
      <c r="R26" s="495">
        <v>384.2</v>
      </c>
      <c r="S26" s="495">
        <f t="shared" si="0"/>
        <v>8757.5300000000007</v>
      </c>
      <c r="T26" s="496">
        <f t="shared" ca="1" si="1"/>
        <v>-2813</v>
      </c>
      <c r="U26" s="491">
        <v>41569</v>
      </c>
      <c r="V26" s="498" t="s">
        <v>1152</v>
      </c>
      <c r="W26" s="499" t="s">
        <v>749</v>
      </c>
      <c r="X26" s="500"/>
      <c r="Y26" s="500"/>
      <c r="Z26" s="500"/>
      <c r="AA26" s="500"/>
      <c r="AB26" s="500"/>
      <c r="AC26" s="501"/>
      <c r="AD26" s="502">
        <v>40473</v>
      </c>
      <c r="AE26" s="503">
        <f t="shared" ca="1" si="3"/>
        <v>1717</v>
      </c>
      <c r="AF26" s="492" t="s">
        <v>48</v>
      </c>
    </row>
    <row r="27" spans="1:32" s="311" customFormat="1" ht="30" customHeight="1" thickBot="1" x14ac:dyDescent="0.25">
      <c r="A27" s="299" t="s">
        <v>115</v>
      </c>
      <c r="B27" s="299" t="s">
        <v>23</v>
      </c>
      <c r="C27" s="299" t="s">
        <v>56</v>
      </c>
      <c r="D27" s="301" t="s">
        <v>116</v>
      </c>
      <c r="E27" s="301" t="s">
        <v>117</v>
      </c>
      <c r="F27" s="323">
        <v>5924.8</v>
      </c>
      <c r="G27" s="284">
        <v>449.4</v>
      </c>
      <c r="H27" s="284">
        <v>529.4</v>
      </c>
      <c r="I27" s="284">
        <v>483.6</v>
      </c>
      <c r="J27" s="284">
        <v>483.6</v>
      </c>
      <c r="K27" s="284">
        <v>487.8</v>
      </c>
      <c r="L27" s="284">
        <v>847</v>
      </c>
      <c r="M27" s="284">
        <v>594.6</v>
      </c>
      <c r="N27" s="284">
        <v>704.6</v>
      </c>
      <c r="O27" s="284">
        <v>504.6</v>
      </c>
      <c r="P27" s="284">
        <v>528</v>
      </c>
      <c r="Q27" s="284"/>
      <c r="R27" s="284">
        <v>517.20000000000005</v>
      </c>
      <c r="S27" s="284">
        <f t="shared" si="0"/>
        <v>6129.8</v>
      </c>
      <c r="T27" s="274">
        <f t="shared" ca="1" si="1"/>
        <v>-3176</v>
      </c>
      <c r="U27" s="309">
        <v>41206</v>
      </c>
      <c r="V27" s="304" t="s">
        <v>912</v>
      </c>
      <c r="W27" s="315" t="s">
        <v>750</v>
      </c>
      <c r="X27" s="305"/>
      <c r="Y27" s="305"/>
      <c r="Z27" s="305"/>
      <c r="AA27" s="305"/>
      <c r="AB27" s="305"/>
      <c r="AC27" s="306"/>
      <c r="AD27" s="307">
        <v>39015</v>
      </c>
      <c r="AE27" s="278">
        <f t="shared" ca="1" si="3"/>
        <v>3175</v>
      </c>
      <c r="AF27" s="299" t="s">
        <v>96</v>
      </c>
    </row>
    <row r="28" spans="1:32" s="311" customFormat="1" ht="30" customHeight="1" thickBot="1" x14ac:dyDescent="0.25">
      <c r="A28" s="299" t="s">
        <v>915</v>
      </c>
      <c r="B28" s="299" t="s">
        <v>23</v>
      </c>
      <c r="C28" s="299" t="s">
        <v>56</v>
      </c>
      <c r="D28" s="301" t="s">
        <v>973</v>
      </c>
      <c r="E28" s="301" t="s">
        <v>917</v>
      </c>
      <c r="F28" s="302">
        <v>6500</v>
      </c>
      <c r="G28" s="284"/>
      <c r="H28" s="284"/>
      <c r="I28" s="284"/>
      <c r="J28" s="284"/>
      <c r="K28" s="284"/>
      <c r="L28" s="284"/>
      <c r="M28" s="284"/>
      <c r="N28" s="284"/>
      <c r="O28" s="284"/>
      <c r="P28" s="284"/>
      <c r="Q28" s="284"/>
      <c r="R28" s="284"/>
      <c r="S28" s="284">
        <f t="shared" si="0"/>
        <v>0</v>
      </c>
      <c r="T28" s="274">
        <f t="shared" ca="1" si="1"/>
        <v>-3175</v>
      </c>
      <c r="U28" s="309">
        <v>41207</v>
      </c>
      <c r="V28" s="304" t="s">
        <v>918</v>
      </c>
      <c r="W28" s="362" t="s">
        <v>948</v>
      </c>
      <c r="X28" s="305"/>
      <c r="Y28" s="305"/>
      <c r="Z28" s="305"/>
      <c r="AA28" s="305"/>
      <c r="AB28" s="305"/>
      <c r="AC28" s="306"/>
      <c r="AD28" s="307">
        <v>40842</v>
      </c>
      <c r="AE28" s="278">
        <f t="shared" ca="1" si="3"/>
        <v>1348</v>
      </c>
      <c r="AF28" s="299" t="s">
        <v>649</v>
      </c>
    </row>
    <row r="29" spans="1:32" s="311" customFormat="1" ht="30" customHeight="1" thickBot="1" x14ac:dyDescent="0.25">
      <c r="A29" s="299" t="s">
        <v>397</v>
      </c>
      <c r="B29" s="299" t="s">
        <v>398</v>
      </c>
      <c r="C29" s="299" t="s">
        <v>613</v>
      </c>
      <c r="D29" s="301" t="s">
        <v>399</v>
      </c>
      <c r="E29" s="301" t="s">
        <v>400</v>
      </c>
      <c r="F29" s="302" t="s">
        <v>919</v>
      </c>
      <c r="G29" s="284">
        <v>6364.72</v>
      </c>
      <c r="H29" s="284">
        <v>6875.18</v>
      </c>
      <c r="I29" s="284">
        <v>4003.15</v>
      </c>
      <c r="J29" s="284">
        <v>0</v>
      </c>
      <c r="K29" s="284">
        <v>0</v>
      </c>
      <c r="L29" s="284">
        <v>0</v>
      </c>
      <c r="M29" s="284">
        <v>0</v>
      </c>
      <c r="N29" s="284">
        <v>0</v>
      </c>
      <c r="O29" s="284">
        <v>0</v>
      </c>
      <c r="P29" s="284">
        <v>0</v>
      </c>
      <c r="Q29" s="284">
        <v>0</v>
      </c>
      <c r="R29" s="284">
        <v>0</v>
      </c>
      <c r="S29" s="284">
        <f t="shared" si="0"/>
        <v>17243.050000000003</v>
      </c>
      <c r="T29" s="470"/>
      <c r="U29" s="303">
        <v>41215</v>
      </c>
      <c r="V29" s="304" t="s">
        <v>1073</v>
      </c>
      <c r="W29" s="315" t="s">
        <v>752</v>
      </c>
      <c r="X29" s="305"/>
      <c r="Y29" s="305"/>
      <c r="Z29" s="305"/>
      <c r="AA29" s="305"/>
      <c r="AB29" s="305"/>
      <c r="AC29" s="306"/>
      <c r="AD29" s="307">
        <v>39755</v>
      </c>
      <c r="AE29" s="278">
        <f t="shared" ca="1" si="3"/>
        <v>2436</v>
      </c>
      <c r="AF29" s="299" t="s">
        <v>48</v>
      </c>
    </row>
    <row r="30" spans="1:32" s="311" customFormat="1" ht="30" customHeight="1" thickBot="1" x14ac:dyDescent="0.25">
      <c r="A30" s="299" t="s">
        <v>137</v>
      </c>
      <c r="B30" s="299" t="s">
        <v>23</v>
      </c>
      <c r="C30" s="299" t="s">
        <v>56</v>
      </c>
      <c r="D30" s="301" t="s">
        <v>138</v>
      </c>
      <c r="E30" s="301" t="s">
        <v>139</v>
      </c>
      <c r="F30" s="302" t="s">
        <v>952</v>
      </c>
      <c r="G30" s="284">
        <v>647.75</v>
      </c>
      <c r="H30" s="284">
        <v>642.75</v>
      </c>
      <c r="I30" s="284">
        <v>687.43</v>
      </c>
      <c r="J30" s="284">
        <v>687.43</v>
      </c>
      <c r="K30" s="284">
        <v>687.43</v>
      </c>
      <c r="L30" s="284">
        <v>687.43</v>
      </c>
      <c r="M30" s="284">
        <v>687.43</v>
      </c>
      <c r="N30" s="284">
        <v>687.43</v>
      </c>
      <c r="O30" s="284">
        <v>687.43</v>
      </c>
      <c r="P30" s="284">
        <v>687.43</v>
      </c>
      <c r="Q30" s="284">
        <v>687.43</v>
      </c>
      <c r="R30" s="284"/>
      <c r="S30" s="284">
        <f t="shared" si="0"/>
        <v>7477.3700000000008</v>
      </c>
      <c r="T30" s="274">
        <f t="shared" ref="T30:T59" ca="1" si="4">U30-$AE$2</f>
        <v>-3154</v>
      </c>
      <c r="U30" s="303">
        <v>41228</v>
      </c>
      <c r="V30" s="304" t="s">
        <v>982</v>
      </c>
      <c r="W30" s="315" t="s">
        <v>740</v>
      </c>
      <c r="X30" s="305"/>
      <c r="Y30" s="305"/>
      <c r="Z30" s="305"/>
      <c r="AA30" s="305"/>
      <c r="AB30" s="305"/>
      <c r="AC30" s="306"/>
      <c r="AD30" s="307">
        <v>39037</v>
      </c>
      <c r="AE30" s="278">
        <f t="shared" ref="AE30:AE39" ca="1" si="5">TODAY()-DATE(YEAR(AD30)+6,MONTH(AD30),DAY(AD30))</f>
        <v>3153</v>
      </c>
      <c r="AF30" s="299" t="s">
        <v>48</v>
      </c>
    </row>
    <row r="31" spans="1:32" s="311" customFormat="1" ht="30" customHeight="1" thickBot="1" x14ac:dyDescent="0.25">
      <c r="A31" s="299" t="s">
        <v>786</v>
      </c>
      <c r="B31" s="300" t="s">
        <v>23</v>
      </c>
      <c r="C31" s="299" t="s">
        <v>372</v>
      </c>
      <c r="D31" s="301" t="s">
        <v>787</v>
      </c>
      <c r="E31" s="301" t="s">
        <v>791</v>
      </c>
      <c r="F31" s="302" t="s">
        <v>375</v>
      </c>
      <c r="G31" s="284"/>
      <c r="H31" s="284"/>
      <c r="I31" s="284"/>
      <c r="J31" s="284"/>
      <c r="K31" s="284"/>
      <c r="L31" s="284"/>
      <c r="M31" s="284"/>
      <c r="N31" s="284"/>
      <c r="O31" s="284"/>
      <c r="P31" s="284"/>
      <c r="Q31" s="284"/>
      <c r="R31" s="284"/>
      <c r="S31" s="284">
        <f t="shared" si="0"/>
        <v>0</v>
      </c>
      <c r="T31" s="274">
        <f t="shared" ca="1" si="4"/>
        <v>-3154</v>
      </c>
      <c r="U31" s="309">
        <v>41228</v>
      </c>
      <c r="V31" s="304" t="s">
        <v>788</v>
      </c>
      <c r="W31" s="310" t="s">
        <v>838</v>
      </c>
      <c r="X31" s="305"/>
      <c r="Y31" s="305"/>
      <c r="Z31" s="305"/>
      <c r="AA31" s="305"/>
      <c r="AB31" s="305"/>
      <c r="AC31" s="306"/>
      <c r="AD31" s="307">
        <v>40498</v>
      </c>
      <c r="AE31" s="278">
        <f t="shared" ca="1" si="5"/>
        <v>1692</v>
      </c>
      <c r="AF31" s="299" t="s">
        <v>96</v>
      </c>
    </row>
    <row r="32" spans="1:32" s="311" customFormat="1" ht="30" customHeight="1" thickBot="1" x14ac:dyDescent="0.25">
      <c r="A32" s="299" t="s">
        <v>628</v>
      </c>
      <c r="B32" s="299" t="s">
        <v>585</v>
      </c>
      <c r="C32" s="299" t="s">
        <v>617</v>
      </c>
      <c r="D32" s="312" t="s">
        <v>44</v>
      </c>
      <c r="E32" s="337" t="s">
        <v>1179</v>
      </c>
      <c r="F32" s="313">
        <v>42318.84</v>
      </c>
      <c r="G32" s="314">
        <v>3131.7</v>
      </c>
      <c r="H32" s="314">
        <v>3548.88</v>
      </c>
      <c r="I32" s="314">
        <v>3340.29</v>
      </c>
      <c r="J32" s="314">
        <v>3340.29</v>
      </c>
      <c r="K32" s="314">
        <v>3340.29</v>
      </c>
      <c r="L32" s="314">
        <v>3340.29</v>
      </c>
      <c r="M32" s="314">
        <v>3340.29</v>
      </c>
      <c r="N32" s="314">
        <v>3340.29</v>
      </c>
      <c r="O32" s="314">
        <v>3340.29</v>
      </c>
      <c r="P32" s="314">
        <v>3340.29</v>
      </c>
      <c r="Q32" s="314">
        <v>3340.29</v>
      </c>
      <c r="R32" s="314">
        <v>3340.29</v>
      </c>
      <c r="S32" s="284">
        <f t="shared" si="0"/>
        <v>40083.480000000003</v>
      </c>
      <c r="T32" s="274">
        <f t="shared" ca="1" si="4"/>
        <v>-2774</v>
      </c>
      <c r="U32" s="303">
        <v>41608</v>
      </c>
      <c r="V32" s="326" t="s">
        <v>1180</v>
      </c>
      <c r="W32" s="315" t="s">
        <v>746</v>
      </c>
      <c r="X32" s="305"/>
      <c r="Y32" s="305"/>
      <c r="Z32" s="305"/>
      <c r="AA32" s="305"/>
      <c r="AB32" s="305"/>
      <c r="AC32" s="303"/>
      <c r="AD32" s="316">
        <v>40147</v>
      </c>
      <c r="AE32" s="278">
        <f t="shared" ca="1" si="5"/>
        <v>2044</v>
      </c>
      <c r="AF32" s="299" t="s">
        <v>48</v>
      </c>
    </row>
    <row r="33" spans="1:32" s="311" customFormat="1" ht="30" customHeight="1" thickBot="1" x14ac:dyDescent="0.25">
      <c r="A33" s="299" t="s">
        <v>765</v>
      </c>
      <c r="B33" s="299" t="s">
        <v>773</v>
      </c>
      <c r="C33" s="299" t="s">
        <v>37</v>
      </c>
      <c r="D33" s="301" t="s">
        <v>88</v>
      </c>
      <c r="E33" s="301" t="s">
        <v>766</v>
      </c>
      <c r="F33" s="302" t="s">
        <v>1185</v>
      </c>
      <c r="G33" s="284">
        <v>2200</v>
      </c>
      <c r="H33" s="284">
        <v>2200</v>
      </c>
      <c r="I33" s="284">
        <v>4655.8</v>
      </c>
      <c r="J33" s="284">
        <v>2200</v>
      </c>
      <c r="K33" s="284">
        <v>2200</v>
      </c>
      <c r="L33" s="284">
        <v>2200</v>
      </c>
      <c r="M33" s="284">
        <v>2200</v>
      </c>
      <c r="N33" s="284">
        <v>2200</v>
      </c>
      <c r="O33" s="284">
        <v>2203</v>
      </c>
      <c r="P33" s="284">
        <v>2200</v>
      </c>
      <c r="Q33" s="284"/>
      <c r="R33" s="284">
        <v>2200</v>
      </c>
      <c r="S33" s="284">
        <f t="shared" si="0"/>
        <v>26658.799999999999</v>
      </c>
      <c r="T33" s="274">
        <f t="shared" ca="1" si="4"/>
        <v>-2759</v>
      </c>
      <c r="U33" s="303">
        <v>41623</v>
      </c>
      <c r="V33" s="304" t="s">
        <v>1184</v>
      </c>
      <c r="W33" s="315" t="s">
        <v>775</v>
      </c>
      <c r="X33" s="305"/>
      <c r="Y33" s="305"/>
      <c r="Z33" s="305"/>
      <c r="AA33" s="305"/>
      <c r="AB33" s="305"/>
      <c r="AC33" s="306"/>
      <c r="AD33" s="307">
        <v>40527</v>
      </c>
      <c r="AE33" s="278">
        <f t="shared" ca="1" si="5"/>
        <v>1663</v>
      </c>
      <c r="AF33" s="310" t="s">
        <v>48</v>
      </c>
    </row>
    <row r="34" spans="1:32" s="311" customFormat="1" ht="30" customHeight="1" thickBot="1" x14ac:dyDescent="0.25">
      <c r="A34" s="299" t="s">
        <v>164</v>
      </c>
      <c r="B34" s="300" t="s">
        <v>165</v>
      </c>
      <c r="C34" s="299" t="s">
        <v>37</v>
      </c>
      <c r="D34" s="301" t="s">
        <v>303</v>
      </c>
      <c r="E34" s="301" t="s">
        <v>167</v>
      </c>
      <c r="F34" s="302">
        <v>35559.599999999999</v>
      </c>
      <c r="G34" s="284"/>
      <c r="H34" s="284"/>
      <c r="I34" s="284"/>
      <c r="J34" s="284"/>
      <c r="K34" s="284"/>
      <c r="L34" s="284"/>
      <c r="M34" s="284"/>
      <c r="N34" s="284"/>
      <c r="O34" s="284"/>
      <c r="P34" s="284"/>
      <c r="Q34" s="284"/>
      <c r="R34" s="284"/>
      <c r="S34" s="284">
        <f t="shared" si="0"/>
        <v>0</v>
      </c>
      <c r="T34" s="274">
        <f t="shared" ca="1" si="4"/>
        <v>-3113</v>
      </c>
      <c r="U34" s="309">
        <v>41269</v>
      </c>
      <c r="V34" s="304" t="s">
        <v>1013</v>
      </c>
      <c r="W34" s="315" t="s">
        <v>727</v>
      </c>
      <c r="X34" s="305"/>
      <c r="Y34" s="305"/>
      <c r="Z34" s="305"/>
      <c r="AA34" s="305"/>
      <c r="AB34" s="305"/>
      <c r="AC34" s="306"/>
      <c r="AD34" s="307">
        <v>39080</v>
      </c>
      <c r="AE34" s="278">
        <f t="shared" ca="1" si="5"/>
        <v>3110</v>
      </c>
      <c r="AF34" s="299" t="s">
        <v>169</v>
      </c>
    </row>
    <row r="35" spans="1:32" s="311" customFormat="1" ht="30" customHeight="1" thickBot="1" x14ac:dyDescent="0.25">
      <c r="A35" s="299" t="s">
        <v>993</v>
      </c>
      <c r="B35" s="299" t="s">
        <v>23</v>
      </c>
      <c r="C35" s="299" t="s">
        <v>56</v>
      </c>
      <c r="D35" s="301" t="s">
        <v>83</v>
      </c>
      <c r="E35" s="301" t="s">
        <v>994</v>
      </c>
      <c r="F35" s="302" t="s">
        <v>769</v>
      </c>
      <c r="G35" s="284">
        <v>395.6</v>
      </c>
      <c r="H35" s="284">
        <v>447.2</v>
      </c>
      <c r="I35" s="284">
        <v>481.6</v>
      </c>
      <c r="J35" s="284">
        <v>576.20000000000005</v>
      </c>
      <c r="K35" s="284">
        <v>395.6</v>
      </c>
      <c r="L35" s="284">
        <v>494.5</v>
      </c>
      <c r="M35" s="284">
        <v>528.9</v>
      </c>
      <c r="N35" s="284">
        <v>451.5</v>
      </c>
      <c r="O35" s="284">
        <v>623.5</v>
      </c>
      <c r="P35" s="284">
        <v>490.2</v>
      </c>
      <c r="Q35" s="284">
        <v>580.5</v>
      </c>
      <c r="R35" s="284">
        <v>524.6</v>
      </c>
      <c r="S35" s="284">
        <f t="shared" si="0"/>
        <v>5989.9000000000005</v>
      </c>
      <c r="T35" s="274">
        <f t="shared" ca="1" si="4"/>
        <v>-3105</v>
      </c>
      <c r="U35" s="303">
        <v>41277</v>
      </c>
      <c r="V35" s="304" t="s">
        <v>1015</v>
      </c>
      <c r="W35" s="315" t="s">
        <v>730</v>
      </c>
      <c r="X35" s="305"/>
      <c r="Y35" s="305"/>
      <c r="Z35" s="305"/>
      <c r="AA35" s="305"/>
      <c r="AB35" s="305"/>
      <c r="AC35" s="306"/>
      <c r="AD35" s="307">
        <v>39480</v>
      </c>
      <c r="AE35" s="278">
        <f t="shared" ca="1" si="5"/>
        <v>2710</v>
      </c>
      <c r="AF35" s="299" t="s">
        <v>48</v>
      </c>
    </row>
    <row r="36" spans="1:32" s="311" customFormat="1" ht="30" customHeight="1" thickBot="1" x14ac:dyDescent="0.25">
      <c r="A36" s="299" t="s">
        <v>658</v>
      </c>
      <c r="B36" s="299" t="s">
        <v>23</v>
      </c>
      <c r="C36" s="299" t="s">
        <v>24</v>
      </c>
      <c r="D36" s="301" t="s">
        <v>171</v>
      </c>
      <c r="E36" s="301" t="s">
        <v>779</v>
      </c>
      <c r="F36" s="302" t="s">
        <v>659</v>
      </c>
      <c r="G36" s="284">
        <v>4688.8</v>
      </c>
      <c r="H36" s="284">
        <v>3045.15</v>
      </c>
      <c r="I36" s="284">
        <v>3051.84</v>
      </c>
      <c r="J36" s="284">
        <v>2694.35</v>
      </c>
      <c r="K36" s="284">
        <v>2646.72</v>
      </c>
      <c r="L36" s="284">
        <v>2780.26</v>
      </c>
      <c r="M36" s="284">
        <v>3055.52</v>
      </c>
      <c r="N36" s="284">
        <v>4692.18</v>
      </c>
      <c r="O36" s="284">
        <v>2958.13</v>
      </c>
      <c r="P36" s="284">
        <v>3782.96</v>
      </c>
      <c r="Q36" s="284"/>
      <c r="R36" s="284">
        <v>2071.35</v>
      </c>
      <c r="S36" s="284">
        <f t="shared" si="0"/>
        <v>35467.26</v>
      </c>
      <c r="T36" s="274">
        <f t="shared" ca="1" si="4"/>
        <v>-2739</v>
      </c>
      <c r="U36" s="303">
        <v>41643</v>
      </c>
      <c r="V36" s="304" t="s">
        <v>1208</v>
      </c>
      <c r="W36" s="315" t="s">
        <v>753</v>
      </c>
      <c r="X36" s="305"/>
      <c r="Y36" s="305"/>
      <c r="Z36" s="305"/>
      <c r="AA36" s="305"/>
      <c r="AB36" s="305"/>
      <c r="AC36" s="306"/>
      <c r="AD36" s="307">
        <v>40182</v>
      </c>
      <c r="AE36" s="278">
        <f t="shared" ca="1" si="5"/>
        <v>2009</v>
      </c>
      <c r="AF36" s="299" t="s">
        <v>54</v>
      </c>
    </row>
    <row r="37" spans="1:32" s="311" customFormat="1" ht="30" customHeight="1" thickBot="1" x14ac:dyDescent="0.25">
      <c r="A37" s="299" t="s">
        <v>599</v>
      </c>
      <c r="B37" s="299" t="s">
        <v>600</v>
      </c>
      <c r="C37" s="299" t="s">
        <v>613</v>
      </c>
      <c r="D37" s="301" t="s">
        <v>1054</v>
      </c>
      <c r="E37" s="301" t="s">
        <v>696</v>
      </c>
      <c r="F37" s="302">
        <v>341972.04</v>
      </c>
      <c r="G37" s="360">
        <v>27479.95</v>
      </c>
      <c r="H37" s="360">
        <v>27181.75</v>
      </c>
      <c r="I37" s="360">
        <v>24821.29</v>
      </c>
      <c r="J37" s="360">
        <v>25317.85</v>
      </c>
      <c r="K37" s="360">
        <v>25582.33</v>
      </c>
      <c r="L37" s="360">
        <v>28238.75</v>
      </c>
      <c r="M37" s="360">
        <v>17946.3</v>
      </c>
      <c r="N37" s="360">
        <v>28238.75</v>
      </c>
      <c r="O37" s="360">
        <v>28238.75</v>
      </c>
      <c r="P37" s="360">
        <v>28749.83</v>
      </c>
      <c r="Q37" s="360">
        <v>28412.73</v>
      </c>
      <c r="R37" s="360">
        <v>28238.75</v>
      </c>
      <c r="S37" s="284">
        <f t="shared" si="0"/>
        <v>318447.02999999997</v>
      </c>
      <c r="T37" s="361">
        <f t="shared" ca="1" si="4"/>
        <v>-3067</v>
      </c>
      <c r="U37" s="303">
        <v>41315</v>
      </c>
      <c r="V37" s="304" t="s">
        <v>1106</v>
      </c>
      <c r="W37" s="362" t="s">
        <v>732</v>
      </c>
      <c r="X37" s="305"/>
      <c r="Y37" s="305"/>
      <c r="Z37" s="305"/>
      <c r="AA37" s="305"/>
      <c r="AB37" s="305"/>
      <c r="AC37" s="307"/>
      <c r="AD37" s="307">
        <v>40036</v>
      </c>
      <c r="AE37" s="363">
        <f t="shared" ca="1" si="5"/>
        <v>2155</v>
      </c>
      <c r="AF37" s="299" t="s">
        <v>48</v>
      </c>
    </row>
    <row r="38" spans="1:32" s="311" customFormat="1" ht="30" customHeight="1" thickBot="1" x14ac:dyDescent="0.25">
      <c r="A38" s="299" t="s">
        <v>193</v>
      </c>
      <c r="B38" s="299" t="s">
        <v>23</v>
      </c>
      <c r="C38" s="299" t="s">
        <v>56</v>
      </c>
      <c r="D38" s="301" t="s">
        <v>194</v>
      </c>
      <c r="E38" s="301" t="s">
        <v>195</v>
      </c>
      <c r="F38" s="302">
        <v>15600</v>
      </c>
      <c r="G38" s="284">
        <v>1300</v>
      </c>
      <c r="H38" s="284">
        <v>5490</v>
      </c>
      <c r="I38" s="284">
        <v>1300</v>
      </c>
      <c r="J38" s="284">
        <v>3040</v>
      </c>
      <c r="K38" s="284">
        <v>4874</v>
      </c>
      <c r="L38" s="284">
        <v>2917</v>
      </c>
      <c r="M38" s="284">
        <v>6450</v>
      </c>
      <c r="N38" s="284">
        <v>5220</v>
      </c>
      <c r="O38" s="284">
        <v>2740</v>
      </c>
      <c r="P38" s="284">
        <v>2330</v>
      </c>
      <c r="Q38" s="284">
        <v>2470</v>
      </c>
      <c r="R38" s="284">
        <v>1890</v>
      </c>
      <c r="S38" s="284">
        <f t="shared" si="0"/>
        <v>40021</v>
      </c>
      <c r="T38" s="274">
        <f t="shared" ca="1" si="4"/>
        <v>-3065</v>
      </c>
      <c r="U38" s="303">
        <v>41317</v>
      </c>
      <c r="V38" s="304" t="s">
        <v>954</v>
      </c>
      <c r="W38" s="315" t="s">
        <v>734</v>
      </c>
      <c r="X38" s="305"/>
      <c r="Y38" s="305"/>
      <c r="Z38" s="305"/>
      <c r="AA38" s="305"/>
      <c r="AB38" s="305"/>
      <c r="AC38" s="306"/>
      <c r="AD38" s="307">
        <v>39125</v>
      </c>
      <c r="AE38" s="278">
        <f t="shared" ca="1" si="5"/>
        <v>3065</v>
      </c>
      <c r="AF38" s="299" t="s">
        <v>48</v>
      </c>
    </row>
    <row r="39" spans="1:32" s="311" customFormat="1" ht="30" customHeight="1" thickBot="1" x14ac:dyDescent="0.25">
      <c r="A39" s="326" t="s">
        <v>955</v>
      </c>
      <c r="B39" s="299" t="s">
        <v>773</v>
      </c>
      <c r="C39" s="299" t="s">
        <v>772</v>
      </c>
      <c r="D39" s="349" t="s">
        <v>956</v>
      </c>
      <c r="E39" s="349" t="s">
        <v>957</v>
      </c>
      <c r="F39" s="302">
        <v>160870.56</v>
      </c>
      <c r="G39" s="284">
        <v>11812.68</v>
      </c>
      <c r="H39" s="284">
        <v>13115.39</v>
      </c>
      <c r="I39" s="284">
        <v>9267.0499999999993</v>
      </c>
      <c r="J39" s="284">
        <v>9508.06</v>
      </c>
      <c r="K39" s="284"/>
      <c r="L39" s="284"/>
      <c r="M39" s="284"/>
      <c r="N39" s="284"/>
      <c r="O39" s="284">
        <v>10001.32</v>
      </c>
      <c r="P39" s="284"/>
      <c r="Q39" s="284">
        <v>8834.5499999999993</v>
      </c>
      <c r="R39" s="284">
        <v>8229.34</v>
      </c>
      <c r="S39" s="284">
        <f t="shared" si="0"/>
        <v>70768.389999999985</v>
      </c>
      <c r="T39" s="274">
        <f t="shared" ca="1" si="4"/>
        <v>-2700</v>
      </c>
      <c r="U39" s="357">
        <v>41682</v>
      </c>
      <c r="V39" s="472" t="s">
        <v>1233</v>
      </c>
      <c r="W39" s="310" t="s">
        <v>1087</v>
      </c>
      <c r="X39" s="305"/>
      <c r="Y39" s="305"/>
      <c r="Z39" s="305"/>
      <c r="AA39" s="305"/>
      <c r="AB39" s="305"/>
      <c r="AC39" s="306"/>
      <c r="AD39" s="307">
        <v>40952</v>
      </c>
      <c r="AE39" s="278">
        <f t="shared" ca="1" si="5"/>
        <v>1238</v>
      </c>
      <c r="AF39" s="326" t="s">
        <v>48</v>
      </c>
    </row>
    <row r="40" spans="1:32" s="311" customFormat="1" ht="30" customHeight="1" thickBot="1" x14ac:dyDescent="0.25">
      <c r="A40" s="299" t="s">
        <v>688</v>
      </c>
      <c r="B40" s="299" t="s">
        <v>689</v>
      </c>
      <c r="C40" s="299" t="s">
        <v>613</v>
      </c>
      <c r="D40" s="301" t="s">
        <v>690</v>
      </c>
      <c r="E40" s="301" t="s">
        <v>691</v>
      </c>
      <c r="F40" s="302">
        <v>24600</v>
      </c>
      <c r="G40" s="284"/>
      <c r="H40" s="284"/>
      <c r="I40" s="284"/>
      <c r="J40" s="284"/>
      <c r="K40" s="284"/>
      <c r="L40" s="284"/>
      <c r="M40" s="284"/>
      <c r="N40" s="284"/>
      <c r="O40" s="284"/>
      <c r="P40" s="284"/>
      <c r="Q40" s="284"/>
      <c r="R40" s="284"/>
      <c r="S40" s="284">
        <f t="shared" si="0"/>
        <v>0</v>
      </c>
      <c r="T40" s="274">
        <f t="shared" ca="1" si="4"/>
        <v>-3060</v>
      </c>
      <c r="U40" s="303">
        <v>41322</v>
      </c>
      <c r="V40" s="304" t="s">
        <v>692</v>
      </c>
      <c r="W40" s="315" t="s">
        <v>758</v>
      </c>
      <c r="X40" s="305"/>
      <c r="Y40" s="305"/>
      <c r="Z40" s="305"/>
      <c r="AA40" s="305"/>
      <c r="AB40" s="305"/>
      <c r="AC40" s="306"/>
      <c r="AD40" s="307">
        <v>40227</v>
      </c>
      <c r="AE40" s="278">
        <f ca="1">TODAY()-DATE(YEAR(AD40)+6,MONTH(AD40),DAY(AD40))</f>
        <v>1964</v>
      </c>
      <c r="AF40" s="299" t="s">
        <v>41</v>
      </c>
    </row>
    <row r="41" spans="1:32" s="504" customFormat="1" ht="30" customHeight="1" thickBot="1" x14ac:dyDescent="0.25">
      <c r="A41" s="537" t="s">
        <v>960</v>
      </c>
      <c r="B41" s="492" t="s">
        <v>23</v>
      </c>
      <c r="C41" s="492" t="s">
        <v>56</v>
      </c>
      <c r="D41" s="507" t="s">
        <v>961</v>
      </c>
      <c r="E41" s="507" t="s">
        <v>962</v>
      </c>
      <c r="F41" s="494">
        <v>99792</v>
      </c>
      <c r="G41" s="495">
        <v>6270</v>
      </c>
      <c r="H41" s="495">
        <v>6920</v>
      </c>
      <c r="I41" s="495">
        <v>6390</v>
      </c>
      <c r="J41" s="495">
        <v>6995</v>
      </c>
      <c r="K41" s="495">
        <v>6890</v>
      </c>
      <c r="L41" s="495"/>
      <c r="M41" s="495">
        <v>8267.4</v>
      </c>
      <c r="N41" s="495"/>
      <c r="O41" s="495">
        <v>7689.6</v>
      </c>
      <c r="P41" s="495">
        <v>7041.6</v>
      </c>
      <c r="Q41" s="495">
        <v>7257.6</v>
      </c>
      <c r="R41" s="495">
        <v>7333.2</v>
      </c>
      <c r="S41" s="495">
        <f t="shared" si="0"/>
        <v>71054.399999999994</v>
      </c>
      <c r="T41" s="496">
        <f t="shared" ca="1" si="4"/>
        <v>-2689</v>
      </c>
      <c r="U41" s="491">
        <v>41693</v>
      </c>
      <c r="V41" s="538" t="s">
        <v>1212</v>
      </c>
      <c r="W41" s="508" t="s">
        <v>977</v>
      </c>
      <c r="X41" s="500"/>
      <c r="Y41" s="500"/>
      <c r="Z41" s="500"/>
      <c r="AA41" s="500"/>
      <c r="AB41" s="500"/>
      <c r="AC41" s="501"/>
      <c r="AD41" s="502">
        <v>40963</v>
      </c>
      <c r="AE41" s="503">
        <f ca="1">TODAY()-DATE(YEAR(AD41)+6,MONTH(AD41),DAY(AD41))</f>
        <v>1227</v>
      </c>
      <c r="AF41" s="537" t="s">
        <v>96</v>
      </c>
    </row>
    <row r="42" spans="1:32" s="504" customFormat="1" ht="30" customHeight="1" thickBot="1" x14ac:dyDescent="0.25">
      <c r="A42" s="492" t="s">
        <v>801</v>
      </c>
      <c r="B42" s="508" t="s">
        <v>23</v>
      </c>
      <c r="C42" s="492" t="s">
        <v>61</v>
      </c>
      <c r="D42" s="493" t="s">
        <v>176</v>
      </c>
      <c r="E42" s="493" t="s">
        <v>310</v>
      </c>
      <c r="F42" s="494" t="s">
        <v>802</v>
      </c>
      <c r="G42" s="495"/>
      <c r="H42" s="495"/>
      <c r="I42" s="495"/>
      <c r="J42" s="495"/>
      <c r="K42" s="495"/>
      <c r="L42" s="495"/>
      <c r="M42" s="495"/>
      <c r="N42" s="495"/>
      <c r="O42" s="495"/>
      <c r="P42" s="495"/>
      <c r="Q42" s="495"/>
      <c r="R42" s="495"/>
      <c r="S42" s="495">
        <f t="shared" si="0"/>
        <v>0</v>
      </c>
      <c r="T42" s="496">
        <f t="shared" ca="1" si="4"/>
        <v>-3053</v>
      </c>
      <c r="U42" s="491">
        <v>41329</v>
      </c>
      <c r="V42" s="498" t="s">
        <v>975</v>
      </c>
      <c r="W42" s="499" t="s">
        <v>729</v>
      </c>
      <c r="X42" s="500"/>
      <c r="Y42" s="500"/>
      <c r="Z42" s="500"/>
      <c r="AA42" s="500"/>
      <c r="AB42" s="500"/>
      <c r="AC42" s="501"/>
      <c r="AD42" s="502">
        <v>40599</v>
      </c>
      <c r="AE42" s="503">
        <f t="shared" ref="AE42:AE58" ca="1" si="6">TODAY()-DATE(YEAR(AD42)+6,MONTH(AD42),DAY(AD42))</f>
        <v>1591</v>
      </c>
      <c r="AF42" s="492" t="s">
        <v>179</v>
      </c>
    </row>
    <row r="43" spans="1:32" s="504" customFormat="1" ht="30" customHeight="1" thickBot="1" x14ac:dyDescent="0.25">
      <c r="A43" s="492" t="s">
        <v>817</v>
      </c>
      <c r="B43" s="492" t="s">
        <v>23</v>
      </c>
      <c r="C43" s="492" t="s">
        <v>56</v>
      </c>
      <c r="D43" s="493" t="s">
        <v>198</v>
      </c>
      <c r="E43" s="493" t="s">
        <v>1210</v>
      </c>
      <c r="F43" s="494">
        <v>2930.4</v>
      </c>
      <c r="G43" s="495">
        <v>205.92</v>
      </c>
      <c r="H43" s="495">
        <v>216.76</v>
      </c>
      <c r="I43" s="495">
        <v>216.76</v>
      </c>
      <c r="J43" s="495">
        <v>215.17</v>
      </c>
      <c r="K43" s="495">
        <v>226.5</v>
      </c>
      <c r="L43" s="495">
        <v>226.5</v>
      </c>
      <c r="M43" s="495">
        <v>226.5</v>
      </c>
      <c r="N43" s="495">
        <v>226.5</v>
      </c>
      <c r="O43" s="495">
        <v>226.5</v>
      </c>
      <c r="P43" s="495">
        <v>226.5</v>
      </c>
      <c r="Q43" s="495">
        <v>226.5</v>
      </c>
      <c r="R43" s="495">
        <v>226.5</v>
      </c>
      <c r="S43" s="495">
        <f t="shared" si="0"/>
        <v>2666.6099999999997</v>
      </c>
      <c r="T43" s="496">
        <f t="shared" ca="1" si="4"/>
        <v>-2684</v>
      </c>
      <c r="U43" s="491">
        <v>41698</v>
      </c>
      <c r="V43" s="498" t="s">
        <v>1211</v>
      </c>
      <c r="W43" s="499" t="s">
        <v>735</v>
      </c>
      <c r="X43" s="500"/>
      <c r="Y43" s="500"/>
      <c r="Z43" s="500"/>
      <c r="AA43" s="500"/>
      <c r="AB43" s="500"/>
      <c r="AC43" s="501"/>
      <c r="AD43" s="502">
        <v>40603</v>
      </c>
      <c r="AE43" s="503">
        <f t="shared" ca="1" si="6"/>
        <v>1587</v>
      </c>
      <c r="AF43" s="492" t="s">
        <v>201</v>
      </c>
    </row>
    <row r="44" spans="1:32" s="504" customFormat="1" ht="30" customHeight="1" thickBot="1" x14ac:dyDescent="0.25">
      <c r="A44" s="492" t="s">
        <v>610</v>
      </c>
      <c r="B44" s="492" t="s">
        <v>23</v>
      </c>
      <c r="C44" s="492" t="s">
        <v>56</v>
      </c>
      <c r="D44" s="493" t="s">
        <v>340</v>
      </c>
      <c r="E44" s="493" t="s">
        <v>608</v>
      </c>
      <c r="F44" s="494">
        <v>18070.439999999999</v>
      </c>
      <c r="G44" s="534">
        <v>1419.56</v>
      </c>
      <c r="H44" s="534">
        <v>1440.85</v>
      </c>
      <c r="I44" s="534"/>
      <c r="J44" s="534"/>
      <c r="K44" s="534"/>
      <c r="L44" s="534">
        <v>2784.8</v>
      </c>
      <c r="M44" s="534">
        <v>1505.87</v>
      </c>
      <c r="N44" s="534">
        <v>1407.99</v>
      </c>
      <c r="O44" s="534">
        <v>1505.87</v>
      </c>
      <c r="P44" s="534">
        <v>1505.87</v>
      </c>
      <c r="Q44" s="534">
        <v>1505.87</v>
      </c>
      <c r="R44" s="534">
        <v>1505.87</v>
      </c>
      <c r="S44" s="495">
        <f t="shared" si="0"/>
        <v>14582.549999999996</v>
      </c>
      <c r="T44" s="535">
        <f t="shared" ca="1" si="4"/>
        <v>-3040</v>
      </c>
      <c r="U44" s="491">
        <v>41342</v>
      </c>
      <c r="V44" s="498" t="s">
        <v>1053</v>
      </c>
      <c r="W44" s="499" t="s">
        <v>736</v>
      </c>
      <c r="X44" s="500"/>
      <c r="Y44" s="500"/>
      <c r="Z44" s="500"/>
      <c r="AA44" s="500"/>
      <c r="AB44" s="500"/>
      <c r="AC44" s="501"/>
      <c r="AD44" s="502">
        <v>39882</v>
      </c>
      <c r="AE44" s="536">
        <f t="shared" ca="1" si="6"/>
        <v>2309</v>
      </c>
      <c r="AF44" s="492" t="s">
        <v>96</v>
      </c>
    </row>
    <row r="45" spans="1:32" s="504" customFormat="1" ht="30" customHeight="1" thickBot="1" x14ac:dyDescent="0.25">
      <c r="A45" s="492" t="s">
        <v>511</v>
      </c>
      <c r="B45" s="492" t="s">
        <v>23</v>
      </c>
      <c r="C45" s="492" t="s">
        <v>56</v>
      </c>
      <c r="D45" s="493" t="s">
        <v>207</v>
      </c>
      <c r="E45" s="493" t="s">
        <v>208</v>
      </c>
      <c r="F45" s="494" t="s">
        <v>453</v>
      </c>
      <c r="G45" s="495">
        <v>390</v>
      </c>
      <c r="H45" s="495">
        <v>517.5</v>
      </c>
      <c r="I45" s="495">
        <v>564</v>
      </c>
      <c r="J45" s="495"/>
      <c r="K45" s="495">
        <v>689.5</v>
      </c>
      <c r="L45" s="495">
        <v>546.5</v>
      </c>
      <c r="M45" s="495">
        <v>462.5</v>
      </c>
      <c r="N45" s="495">
        <v>381</v>
      </c>
      <c r="O45" s="495">
        <v>792</v>
      </c>
      <c r="P45" s="495"/>
      <c r="Q45" s="495">
        <v>492</v>
      </c>
      <c r="R45" s="495">
        <v>525.01</v>
      </c>
      <c r="S45" s="495">
        <f t="shared" si="0"/>
        <v>5360.01</v>
      </c>
      <c r="T45" s="496">
        <f t="shared" ca="1" si="4"/>
        <v>-2668</v>
      </c>
      <c r="U45" s="491">
        <v>41714</v>
      </c>
      <c r="V45" s="498" t="s">
        <v>1232</v>
      </c>
      <c r="W45" s="499" t="s">
        <v>737</v>
      </c>
      <c r="X45" s="500"/>
      <c r="Y45" s="500"/>
      <c r="Z45" s="500"/>
      <c r="AA45" s="500"/>
      <c r="AB45" s="500"/>
      <c r="AC45" s="501"/>
      <c r="AD45" s="502">
        <v>39889</v>
      </c>
      <c r="AE45" s="503">
        <f t="shared" ca="1" si="6"/>
        <v>2302</v>
      </c>
      <c r="AF45" s="492" t="s">
        <v>48</v>
      </c>
    </row>
    <row r="46" spans="1:32" s="504" customFormat="1" ht="30" customHeight="1" thickBot="1" x14ac:dyDescent="0.25">
      <c r="A46" s="492" t="s">
        <v>1032</v>
      </c>
      <c r="B46" s="492" t="s">
        <v>23</v>
      </c>
      <c r="C46" s="492" t="s">
        <v>56</v>
      </c>
      <c r="D46" s="493" t="s">
        <v>1033</v>
      </c>
      <c r="E46" s="493" t="s">
        <v>1034</v>
      </c>
      <c r="F46" s="494">
        <v>7800</v>
      </c>
      <c r="G46" s="495"/>
      <c r="H46" s="495"/>
      <c r="I46" s="495"/>
      <c r="J46" s="495"/>
      <c r="K46" s="495">
        <v>1300</v>
      </c>
      <c r="L46" s="495">
        <v>650</v>
      </c>
      <c r="M46" s="495">
        <v>650</v>
      </c>
      <c r="N46" s="495">
        <v>650</v>
      </c>
      <c r="O46" s="495">
        <v>637</v>
      </c>
      <c r="P46" s="495"/>
      <c r="Q46" s="495">
        <v>650</v>
      </c>
      <c r="R46" s="495">
        <v>3443</v>
      </c>
      <c r="S46" s="495">
        <f t="shared" si="0"/>
        <v>7980</v>
      </c>
      <c r="T46" s="496">
        <f t="shared" ca="1" si="4"/>
        <v>-3021</v>
      </c>
      <c r="U46" s="491">
        <v>41361</v>
      </c>
      <c r="V46" s="498" t="s">
        <v>1035</v>
      </c>
      <c r="W46" s="499" t="s">
        <v>1036</v>
      </c>
      <c r="X46" s="500"/>
      <c r="Y46" s="500"/>
      <c r="Z46" s="500"/>
      <c r="AA46" s="500"/>
      <c r="AB46" s="500"/>
      <c r="AC46" s="501"/>
      <c r="AD46" s="502">
        <v>40997</v>
      </c>
      <c r="AE46" s="503">
        <f t="shared" ca="1" si="6"/>
        <v>1194</v>
      </c>
      <c r="AF46" s="492" t="s">
        <v>48</v>
      </c>
    </row>
    <row r="47" spans="1:32" s="504" customFormat="1" ht="30" customHeight="1" thickBot="1" x14ac:dyDescent="0.25">
      <c r="A47" s="492" t="s">
        <v>894</v>
      </c>
      <c r="B47" s="492" t="s">
        <v>23</v>
      </c>
      <c r="C47" s="492" t="s">
        <v>56</v>
      </c>
      <c r="D47" s="493" t="s">
        <v>979</v>
      </c>
      <c r="E47" s="493" t="s">
        <v>896</v>
      </c>
      <c r="F47" s="494" t="s">
        <v>978</v>
      </c>
      <c r="G47" s="495">
        <v>1439.72</v>
      </c>
      <c r="H47" s="495">
        <v>466.7</v>
      </c>
      <c r="I47" s="495">
        <v>1475.47</v>
      </c>
      <c r="J47" s="495">
        <v>2520.69</v>
      </c>
      <c r="K47" s="495">
        <v>0</v>
      </c>
      <c r="L47" s="495">
        <v>0</v>
      </c>
      <c r="M47" s="495">
        <v>0</v>
      </c>
      <c r="N47" s="495">
        <v>0</v>
      </c>
      <c r="O47" s="495">
        <v>0</v>
      </c>
      <c r="P47" s="495"/>
      <c r="Q47" s="495"/>
      <c r="R47" s="495"/>
      <c r="S47" s="495">
        <f t="shared" si="0"/>
        <v>5902.58</v>
      </c>
      <c r="T47" s="496">
        <f t="shared" ca="1" si="4"/>
        <v>-3020</v>
      </c>
      <c r="U47" s="491">
        <v>41362</v>
      </c>
      <c r="V47" s="538" t="s">
        <v>980</v>
      </c>
      <c r="W47" s="508" t="s">
        <v>981</v>
      </c>
      <c r="X47" s="500"/>
      <c r="Y47" s="500"/>
      <c r="Z47" s="500"/>
      <c r="AA47" s="500"/>
      <c r="AB47" s="500"/>
      <c r="AC47" s="501"/>
      <c r="AD47" s="502">
        <v>40816</v>
      </c>
      <c r="AE47" s="503">
        <f t="shared" ca="1" si="6"/>
        <v>1374</v>
      </c>
      <c r="AF47" s="492" t="s">
        <v>48</v>
      </c>
    </row>
    <row r="48" spans="1:32" s="504" customFormat="1" ht="30" customHeight="1" thickBot="1" x14ac:dyDescent="0.25">
      <c r="A48" s="492" t="s">
        <v>1037</v>
      </c>
      <c r="B48" s="492" t="s">
        <v>23</v>
      </c>
      <c r="C48" s="492" t="s">
        <v>56</v>
      </c>
      <c r="D48" s="493" t="s">
        <v>1038</v>
      </c>
      <c r="E48" s="493" t="s">
        <v>1213</v>
      </c>
      <c r="F48" s="494">
        <v>9612</v>
      </c>
      <c r="G48" s="495"/>
      <c r="H48" s="495"/>
      <c r="I48" s="495"/>
      <c r="J48" s="495"/>
      <c r="K48" s="495">
        <v>2502.6999999999998</v>
      </c>
      <c r="L48" s="495">
        <v>1602</v>
      </c>
      <c r="M48" s="495"/>
      <c r="N48" s="495">
        <v>1602</v>
      </c>
      <c r="O48" s="495">
        <v>801</v>
      </c>
      <c r="P48" s="495">
        <v>801</v>
      </c>
      <c r="Q48" s="495">
        <v>801</v>
      </c>
      <c r="R48" s="495">
        <v>801</v>
      </c>
      <c r="S48" s="495">
        <f t="shared" si="0"/>
        <v>8910.7000000000007</v>
      </c>
      <c r="T48" s="496">
        <f t="shared" ca="1" si="4"/>
        <v>-2655</v>
      </c>
      <c r="U48" s="491">
        <v>41727</v>
      </c>
      <c r="V48" s="498" t="s">
        <v>1214</v>
      </c>
      <c r="W48" s="499" t="s">
        <v>1041</v>
      </c>
      <c r="X48" s="500"/>
      <c r="Y48" s="500"/>
      <c r="Z48" s="500"/>
      <c r="AA48" s="500"/>
      <c r="AB48" s="500"/>
      <c r="AC48" s="501"/>
      <c r="AD48" s="502">
        <v>40998</v>
      </c>
      <c r="AE48" s="503">
        <f t="shared" ca="1" si="6"/>
        <v>1193</v>
      </c>
      <c r="AF48" s="492" t="s">
        <v>48</v>
      </c>
    </row>
    <row r="49" spans="1:32" s="504" customFormat="1" ht="30" customHeight="1" thickBot="1" x14ac:dyDescent="0.25">
      <c r="A49" s="492" t="s">
        <v>1042</v>
      </c>
      <c r="B49" s="492" t="s">
        <v>1043</v>
      </c>
      <c r="C49" s="492" t="s">
        <v>617</v>
      </c>
      <c r="D49" s="493" t="s">
        <v>1044</v>
      </c>
      <c r="E49" s="493" t="s">
        <v>1236</v>
      </c>
      <c r="F49" s="494">
        <v>283977</v>
      </c>
      <c r="G49" s="495"/>
      <c r="H49" s="495"/>
      <c r="I49" s="495"/>
      <c r="J49" s="495"/>
      <c r="K49" s="495">
        <v>4622.42</v>
      </c>
      <c r="L49" s="495">
        <v>18678.87</v>
      </c>
      <c r="M49" s="495">
        <v>19435.73</v>
      </c>
      <c r="N49" s="495">
        <v>18831.05</v>
      </c>
      <c r="O49" s="495">
        <v>17440.45</v>
      </c>
      <c r="P49" s="495">
        <v>14687.65</v>
      </c>
      <c r="Q49" s="495">
        <v>14459.78</v>
      </c>
      <c r="R49" s="495">
        <v>14530.58</v>
      </c>
      <c r="S49" s="495">
        <f t="shared" si="0"/>
        <v>122686.53</v>
      </c>
      <c r="T49" s="496">
        <f t="shared" ca="1" si="4"/>
        <v>-2652</v>
      </c>
      <c r="U49" s="491">
        <v>41730</v>
      </c>
      <c r="V49" s="498" t="s">
        <v>1237</v>
      </c>
      <c r="W49" s="499" t="s">
        <v>1048</v>
      </c>
      <c r="X49" s="500"/>
      <c r="Y49" s="500"/>
      <c r="Z49" s="500"/>
      <c r="AA49" s="500"/>
      <c r="AB49" s="500"/>
      <c r="AC49" s="501"/>
      <c r="AD49" s="502">
        <v>41001</v>
      </c>
      <c r="AE49" s="503">
        <f t="shared" ca="1" si="6"/>
        <v>1190</v>
      </c>
      <c r="AF49" s="492" t="s">
        <v>96</v>
      </c>
    </row>
    <row r="50" spans="1:32" s="504" customFormat="1" ht="30" customHeight="1" thickBot="1" x14ac:dyDescent="0.25">
      <c r="A50" s="539" t="s">
        <v>583</v>
      </c>
      <c r="B50" s="492" t="s">
        <v>23</v>
      </c>
      <c r="C50" s="492" t="s">
        <v>61</v>
      </c>
      <c r="D50" s="493" t="s">
        <v>50</v>
      </c>
      <c r="E50" s="493" t="s">
        <v>51</v>
      </c>
      <c r="F50" s="494" t="s">
        <v>848</v>
      </c>
      <c r="G50" s="495">
        <v>907.16</v>
      </c>
      <c r="H50" s="495">
        <v>907.16</v>
      </c>
      <c r="I50" s="495">
        <v>907.16</v>
      </c>
      <c r="J50" s="495">
        <v>907.16</v>
      </c>
      <c r="K50" s="495">
        <v>907.16</v>
      </c>
      <c r="L50" s="495">
        <v>907.16</v>
      </c>
      <c r="M50" s="495">
        <v>866.12</v>
      </c>
      <c r="N50" s="495">
        <v>866.13</v>
      </c>
      <c r="O50" s="495"/>
      <c r="P50" s="495">
        <v>907.16</v>
      </c>
      <c r="Q50" s="495">
        <v>907.16</v>
      </c>
      <c r="R50" s="495">
        <v>907.16</v>
      </c>
      <c r="S50" s="495">
        <f t="shared" si="0"/>
        <v>9896.69</v>
      </c>
      <c r="T50" s="496">
        <f t="shared" ca="1" si="4"/>
        <v>-2631</v>
      </c>
      <c r="U50" s="491">
        <v>41751</v>
      </c>
      <c r="V50" s="498" t="s">
        <v>1240</v>
      </c>
      <c r="W50" s="499" t="s">
        <v>738</v>
      </c>
      <c r="X50" s="500"/>
      <c r="Y50" s="500"/>
      <c r="Z50" s="500"/>
      <c r="AA50" s="500"/>
      <c r="AB50" s="500"/>
      <c r="AC50" s="501"/>
      <c r="AD50" s="502">
        <v>39926</v>
      </c>
      <c r="AE50" s="503">
        <f t="shared" ca="1" si="6"/>
        <v>2265</v>
      </c>
      <c r="AF50" s="492" t="s">
        <v>54</v>
      </c>
    </row>
    <row r="51" spans="1:32" s="311" customFormat="1" ht="30" customHeight="1" thickBot="1" x14ac:dyDescent="0.25">
      <c r="A51" s="348" t="s">
        <v>1094</v>
      </c>
      <c r="B51" s="299" t="s">
        <v>23</v>
      </c>
      <c r="C51" s="299" t="s">
        <v>372</v>
      </c>
      <c r="D51" s="349" t="s">
        <v>1095</v>
      </c>
      <c r="E51" s="349" t="s">
        <v>1096</v>
      </c>
      <c r="F51" s="302">
        <v>0</v>
      </c>
      <c r="G51" s="284"/>
      <c r="H51" s="284">
        <v>1200</v>
      </c>
      <c r="I51" s="284"/>
      <c r="J51" s="284"/>
      <c r="K51" s="284"/>
      <c r="L51" s="284"/>
      <c r="M51" s="284"/>
      <c r="N51" s="284"/>
      <c r="O51" s="284"/>
      <c r="P51" s="284"/>
      <c r="Q51" s="284"/>
      <c r="R51" s="284"/>
      <c r="S51" s="284">
        <f t="shared" si="0"/>
        <v>1200</v>
      </c>
      <c r="T51" s="274">
        <f t="shared" ca="1" si="4"/>
        <v>-2985</v>
      </c>
      <c r="U51" s="303">
        <v>41397</v>
      </c>
      <c r="V51" s="304" t="s">
        <v>1097</v>
      </c>
      <c r="W51" s="362" t="s">
        <v>1093</v>
      </c>
      <c r="X51" s="305"/>
      <c r="Y51" s="305"/>
      <c r="Z51" s="305"/>
      <c r="AA51" s="305"/>
      <c r="AB51" s="305"/>
      <c r="AC51" s="306"/>
      <c r="AD51" s="307">
        <v>41033</v>
      </c>
      <c r="AE51" s="278">
        <f t="shared" ca="1" si="6"/>
        <v>1158</v>
      </c>
      <c r="AF51" s="299" t="s">
        <v>1093</v>
      </c>
    </row>
    <row r="52" spans="1:32" s="504" customFormat="1" ht="30" customHeight="1" thickBot="1" x14ac:dyDescent="0.25">
      <c r="A52" s="492" t="s">
        <v>353</v>
      </c>
      <c r="B52" s="492" t="s">
        <v>23</v>
      </c>
      <c r="C52" s="492" t="s">
        <v>24</v>
      </c>
      <c r="D52" s="493" t="s">
        <v>260</v>
      </c>
      <c r="E52" s="493" t="s">
        <v>26</v>
      </c>
      <c r="F52" s="494" t="s">
        <v>1069</v>
      </c>
      <c r="G52" s="495"/>
      <c r="H52" s="495"/>
      <c r="I52" s="495"/>
      <c r="J52" s="495"/>
      <c r="K52" s="495"/>
      <c r="L52" s="495"/>
      <c r="M52" s="495"/>
      <c r="N52" s="495"/>
      <c r="O52" s="495"/>
      <c r="P52" s="495"/>
      <c r="Q52" s="495"/>
      <c r="R52" s="495"/>
      <c r="S52" s="495">
        <f t="shared" si="0"/>
        <v>0</v>
      </c>
      <c r="T52" s="496">
        <f t="shared" ca="1" si="4"/>
        <v>-2981</v>
      </c>
      <c r="U52" s="491">
        <v>41401</v>
      </c>
      <c r="V52" s="508" t="s">
        <v>355</v>
      </c>
      <c r="W52" s="508" t="s">
        <v>841</v>
      </c>
      <c r="X52" s="500"/>
      <c r="Y52" s="500"/>
      <c r="Z52" s="500"/>
      <c r="AA52" s="500"/>
      <c r="AB52" s="500"/>
      <c r="AC52" s="501">
        <v>39916</v>
      </c>
      <c r="AD52" s="502">
        <v>39576</v>
      </c>
      <c r="AE52" s="503">
        <f t="shared" ca="1" si="6"/>
        <v>2615</v>
      </c>
      <c r="AF52" s="492" t="s">
        <v>29</v>
      </c>
    </row>
    <row r="53" spans="1:32" s="504" customFormat="1" ht="30" customHeight="1" thickBot="1" x14ac:dyDescent="0.25">
      <c r="A53" s="506" t="s">
        <v>1103</v>
      </c>
      <c r="B53" s="492" t="s">
        <v>1093</v>
      </c>
      <c r="C53" s="492" t="s">
        <v>1093</v>
      </c>
      <c r="D53" s="507" t="s">
        <v>1104</v>
      </c>
      <c r="E53" s="507" t="s">
        <v>1105</v>
      </c>
      <c r="F53" s="494">
        <v>3502.08</v>
      </c>
      <c r="G53" s="495"/>
      <c r="H53" s="495"/>
      <c r="I53" s="495"/>
      <c r="J53" s="495"/>
      <c r="K53" s="495"/>
      <c r="L53" s="495"/>
      <c r="M53" s="495"/>
      <c r="N53" s="495"/>
      <c r="O53" s="495">
        <v>292.64999999999998</v>
      </c>
      <c r="P53" s="495">
        <v>249.15</v>
      </c>
      <c r="Q53" s="495"/>
      <c r="R53" s="495"/>
      <c r="S53" s="495">
        <f t="shared" si="0"/>
        <v>541.79999999999995</v>
      </c>
      <c r="T53" s="496">
        <f t="shared" ca="1" si="4"/>
        <v>-2605</v>
      </c>
      <c r="U53" s="491">
        <v>41777</v>
      </c>
      <c r="V53" s="498" t="s">
        <v>1251</v>
      </c>
      <c r="W53" s="499" t="s">
        <v>1093</v>
      </c>
      <c r="X53" s="500"/>
      <c r="Y53" s="500"/>
      <c r="Z53" s="500"/>
      <c r="AA53" s="500"/>
      <c r="AB53" s="500"/>
      <c r="AC53" s="501"/>
      <c r="AD53" s="502">
        <v>41047</v>
      </c>
      <c r="AE53" s="503">
        <f t="shared" ca="1" si="6"/>
        <v>1144</v>
      </c>
      <c r="AF53" s="492" t="s">
        <v>29</v>
      </c>
    </row>
    <row r="54" spans="1:32" s="504" customFormat="1" ht="30" customHeight="1" thickBot="1" x14ac:dyDescent="0.25">
      <c r="A54" s="492" t="s">
        <v>677</v>
      </c>
      <c r="B54" s="509" t="s">
        <v>678</v>
      </c>
      <c r="C54" s="492" t="s">
        <v>37</v>
      </c>
      <c r="D54" s="493" t="s">
        <v>38</v>
      </c>
      <c r="E54" s="493" t="s">
        <v>1238</v>
      </c>
      <c r="F54" s="494">
        <v>79590</v>
      </c>
      <c r="G54" s="495">
        <v>6632.6</v>
      </c>
      <c r="H54" s="495">
        <v>6632.6</v>
      </c>
      <c r="I54" s="495">
        <v>6633.1</v>
      </c>
      <c r="J54" s="495">
        <v>6632.6</v>
      </c>
      <c r="K54" s="495">
        <v>6631.6</v>
      </c>
      <c r="L54" s="495">
        <v>6632.6</v>
      </c>
      <c r="M54" s="495">
        <v>6632.6</v>
      </c>
      <c r="N54" s="495">
        <v>6499.95</v>
      </c>
      <c r="O54" s="495">
        <v>6632.6</v>
      </c>
      <c r="P54" s="495">
        <v>6632.6</v>
      </c>
      <c r="Q54" s="495">
        <v>6632.6</v>
      </c>
      <c r="R54" s="495">
        <v>6632.6</v>
      </c>
      <c r="S54" s="495">
        <f t="shared" ref="S54:S59" si="7">SUM(G54:R54)</f>
        <v>79458.05</v>
      </c>
      <c r="T54" s="496">
        <f t="shared" ca="1" si="4"/>
        <v>-2603</v>
      </c>
      <c r="U54" s="491">
        <v>41779</v>
      </c>
      <c r="V54" s="498" t="s">
        <v>1239</v>
      </c>
      <c r="W54" s="499" t="s">
        <v>739</v>
      </c>
      <c r="X54" s="500"/>
      <c r="Y54" s="500"/>
      <c r="Z54" s="500"/>
      <c r="AA54" s="500"/>
      <c r="AB54" s="500"/>
      <c r="AC54" s="501"/>
      <c r="AD54" s="502">
        <v>40318</v>
      </c>
      <c r="AE54" s="503">
        <f t="shared" ca="1" si="6"/>
        <v>1872</v>
      </c>
      <c r="AF54" s="492" t="s">
        <v>41</v>
      </c>
    </row>
    <row r="55" spans="1:32" s="504" customFormat="1" ht="30" customHeight="1" thickBot="1" x14ac:dyDescent="0.25">
      <c r="A55" s="492" t="s">
        <v>718</v>
      </c>
      <c r="B55" s="492" t="s">
        <v>719</v>
      </c>
      <c r="C55" s="492" t="s">
        <v>617</v>
      </c>
      <c r="D55" s="493" t="s">
        <v>379</v>
      </c>
      <c r="E55" s="493" t="s">
        <v>720</v>
      </c>
      <c r="F55" s="494" t="s">
        <v>721</v>
      </c>
      <c r="G55" s="495"/>
      <c r="H55" s="495"/>
      <c r="I55" s="495"/>
      <c r="J55" s="495"/>
      <c r="K55" s="495"/>
      <c r="L55" s="495"/>
      <c r="M55" s="495"/>
      <c r="N55" s="495"/>
      <c r="O55" s="495"/>
      <c r="P55" s="495"/>
      <c r="Q55" s="495"/>
      <c r="R55" s="495"/>
      <c r="S55" s="495">
        <f t="shared" si="7"/>
        <v>0</v>
      </c>
      <c r="T55" s="496">
        <f t="shared" ca="1" si="4"/>
        <v>-2836</v>
      </c>
      <c r="U55" s="491">
        <v>41546</v>
      </c>
      <c r="V55" s="510" t="s">
        <v>722</v>
      </c>
      <c r="W55" s="499" t="s">
        <v>745</v>
      </c>
      <c r="X55" s="500"/>
      <c r="Y55" s="500"/>
      <c r="Z55" s="500"/>
      <c r="AA55" s="500"/>
      <c r="AB55" s="500"/>
      <c r="AC55" s="501"/>
      <c r="AD55" s="502">
        <v>40451</v>
      </c>
      <c r="AE55" s="503">
        <f t="shared" ca="1" si="6"/>
        <v>1739</v>
      </c>
      <c r="AF55" s="492" t="s">
        <v>41</v>
      </c>
    </row>
    <row r="56" spans="1:32" s="311" customFormat="1" ht="30" customHeight="1" thickBot="1" x14ac:dyDescent="0.25">
      <c r="A56" s="326" t="s">
        <v>23</v>
      </c>
      <c r="B56" s="300" t="s">
        <v>23</v>
      </c>
      <c r="C56" s="299" t="s">
        <v>24</v>
      </c>
      <c r="D56" s="301" t="s">
        <v>303</v>
      </c>
      <c r="E56" s="349" t="s">
        <v>971</v>
      </c>
      <c r="F56" s="302" t="s">
        <v>972</v>
      </c>
      <c r="G56" s="360">
        <v>0</v>
      </c>
      <c r="H56" s="360">
        <v>0</v>
      </c>
      <c r="I56" s="360">
        <v>0</v>
      </c>
      <c r="J56" s="360">
        <v>0</v>
      </c>
      <c r="K56" s="360">
        <v>0</v>
      </c>
      <c r="L56" s="360">
        <v>0</v>
      </c>
      <c r="M56" s="360">
        <v>0</v>
      </c>
      <c r="N56" s="360">
        <v>0</v>
      </c>
      <c r="O56" s="360"/>
      <c r="P56" s="360"/>
      <c r="Q56" s="360"/>
      <c r="R56" s="360"/>
      <c r="S56" s="284">
        <f t="shared" si="7"/>
        <v>0</v>
      </c>
      <c r="T56" s="371">
        <f t="shared" ca="1" si="4"/>
        <v>-2769</v>
      </c>
      <c r="U56" s="303">
        <v>41613</v>
      </c>
      <c r="V56" s="304" t="s">
        <v>970</v>
      </c>
      <c r="W56" s="315" t="s">
        <v>727</v>
      </c>
      <c r="X56" s="305"/>
      <c r="Y56" s="305"/>
      <c r="Z56" s="305"/>
      <c r="AA56" s="305"/>
      <c r="AB56" s="305"/>
      <c r="AC56" s="306"/>
      <c r="AD56" s="307">
        <v>40883</v>
      </c>
      <c r="AE56" s="278">
        <f t="shared" ca="1" si="6"/>
        <v>1307</v>
      </c>
      <c r="AF56" s="326"/>
    </row>
    <row r="57" spans="1:32" s="311" customFormat="1" ht="30" customHeight="1" thickBot="1" x14ac:dyDescent="0.25">
      <c r="A57" s="299" t="s">
        <v>23</v>
      </c>
      <c r="B57" s="299" t="s">
        <v>667</v>
      </c>
      <c r="C57" s="299" t="s">
        <v>772</v>
      </c>
      <c r="D57" s="301" t="s">
        <v>856</v>
      </c>
      <c r="E57" s="301" t="s">
        <v>857</v>
      </c>
      <c r="F57" s="302" t="s">
        <v>859</v>
      </c>
      <c r="G57" s="284">
        <v>720.7</v>
      </c>
      <c r="H57" s="284">
        <v>729.81</v>
      </c>
      <c r="I57" s="284">
        <v>3073.01</v>
      </c>
      <c r="J57" s="284">
        <v>1145.21</v>
      </c>
      <c r="K57" s="284">
        <v>958.2</v>
      </c>
      <c r="L57" s="284">
        <v>1215.8900000000001</v>
      </c>
      <c r="M57" s="284">
        <v>739.33</v>
      </c>
      <c r="N57" s="284">
        <v>861.22</v>
      </c>
      <c r="O57" s="284">
        <v>717.31</v>
      </c>
      <c r="P57" s="284">
        <v>714.34</v>
      </c>
      <c r="Q57" s="284">
        <v>777.53</v>
      </c>
      <c r="R57" s="284">
        <v>785.21</v>
      </c>
      <c r="S57" s="284">
        <f t="shared" si="7"/>
        <v>12437.760000000002</v>
      </c>
      <c r="T57" s="274">
        <f t="shared" ca="1" si="4"/>
        <v>-2768</v>
      </c>
      <c r="U57" s="303">
        <v>41614</v>
      </c>
      <c r="V57" s="310" t="s">
        <v>860</v>
      </c>
      <c r="W57" s="279" t="s">
        <v>861</v>
      </c>
      <c r="X57" s="305"/>
      <c r="Y57" s="305"/>
      <c r="Z57" s="305"/>
      <c r="AA57" s="305"/>
      <c r="AB57" s="305"/>
      <c r="AC57" s="307"/>
      <c r="AD57" s="325">
        <v>40701</v>
      </c>
      <c r="AE57" s="278">
        <f t="shared" ca="1" si="6"/>
        <v>1489</v>
      </c>
      <c r="AF57" s="299" t="s">
        <v>48</v>
      </c>
    </row>
    <row r="58" spans="1:32" s="311" customFormat="1" ht="30" customHeight="1" thickBot="1" x14ac:dyDescent="0.25">
      <c r="A58" s="348" t="s">
        <v>1098</v>
      </c>
      <c r="B58" s="299" t="s">
        <v>1093</v>
      </c>
      <c r="C58" s="299" t="s">
        <v>1093</v>
      </c>
      <c r="D58" s="349" t="s">
        <v>333</v>
      </c>
      <c r="E58" s="478" t="s">
        <v>1099</v>
      </c>
      <c r="F58" s="302" t="s">
        <v>1101</v>
      </c>
      <c r="G58" s="284"/>
      <c r="H58" s="284"/>
      <c r="I58" s="284"/>
      <c r="J58" s="284"/>
      <c r="K58" s="284"/>
      <c r="L58" s="284">
        <v>2086</v>
      </c>
      <c r="M58" s="284"/>
      <c r="N58" s="284"/>
      <c r="O58" s="284"/>
      <c r="P58" s="284"/>
      <c r="Q58" s="284"/>
      <c r="R58" s="284">
        <v>450</v>
      </c>
      <c r="S58" s="284">
        <f t="shared" si="7"/>
        <v>2536</v>
      </c>
      <c r="T58" s="274">
        <f t="shared" ca="1" si="4"/>
        <v>-2596</v>
      </c>
      <c r="U58" s="303">
        <v>41786</v>
      </c>
      <c r="V58" s="304" t="s">
        <v>1102</v>
      </c>
      <c r="W58" s="465" t="s">
        <v>1093</v>
      </c>
      <c r="X58" s="305"/>
      <c r="Y58" s="305"/>
      <c r="Z58" s="305"/>
      <c r="AA58" s="305"/>
      <c r="AB58" s="305"/>
      <c r="AC58" s="306"/>
      <c r="AD58" s="307">
        <v>41057</v>
      </c>
      <c r="AE58" s="278">
        <f t="shared" ca="1" si="6"/>
        <v>1134</v>
      </c>
      <c r="AF58" s="299" t="s">
        <v>41</v>
      </c>
    </row>
    <row r="59" spans="1:32" s="311" customFormat="1" ht="30" customHeight="1" thickBot="1" x14ac:dyDescent="0.25">
      <c r="A59" s="348" t="s">
        <v>1089</v>
      </c>
      <c r="B59" s="299" t="s">
        <v>23</v>
      </c>
      <c r="C59" s="299" t="s">
        <v>372</v>
      </c>
      <c r="D59" s="349" t="s">
        <v>1090</v>
      </c>
      <c r="E59" s="349" t="s">
        <v>1091</v>
      </c>
      <c r="F59" s="302">
        <v>0</v>
      </c>
      <c r="G59" s="284">
        <v>2869.25</v>
      </c>
      <c r="H59" s="284"/>
      <c r="I59" s="284"/>
      <c r="J59" s="284"/>
      <c r="K59" s="284"/>
      <c r="L59" s="284"/>
      <c r="M59" s="284"/>
      <c r="N59" s="284">
        <v>5430.95</v>
      </c>
      <c r="O59" s="284"/>
      <c r="P59" s="284"/>
      <c r="Q59" s="284"/>
      <c r="R59" s="284">
        <v>4949.2700000000004</v>
      </c>
      <c r="S59" s="284">
        <f t="shared" si="7"/>
        <v>13249.470000000001</v>
      </c>
      <c r="T59" s="274">
        <f t="shared" ca="1" si="4"/>
        <v>-1521</v>
      </c>
      <c r="U59" s="303">
        <v>42861</v>
      </c>
      <c r="V59" s="304" t="s">
        <v>1092</v>
      </c>
      <c r="W59" s="465" t="s">
        <v>1093</v>
      </c>
      <c r="X59" s="305"/>
      <c r="Y59" s="305"/>
      <c r="Z59" s="305"/>
      <c r="AA59" s="305"/>
      <c r="AB59" s="305"/>
      <c r="AC59" s="306"/>
      <c r="AD59" s="307">
        <v>41036</v>
      </c>
      <c r="AE59" s="278">
        <f ca="1">TODAY()-DATE(YEAR(AD59)+5,MONTH(AD59),DAY(AD59))</f>
        <v>1520</v>
      </c>
      <c r="AF59" s="299" t="s">
        <v>96</v>
      </c>
    </row>
    <row r="60" spans="1:32" s="311" customFormat="1" ht="30" customHeight="1" thickBot="1" x14ac:dyDescent="0.25">
      <c r="A60" s="348" t="s">
        <v>1065</v>
      </c>
      <c r="B60" s="299" t="s">
        <v>23</v>
      </c>
      <c r="C60" s="299" t="s">
        <v>56</v>
      </c>
      <c r="D60" s="349" t="s">
        <v>1066</v>
      </c>
      <c r="E60" s="349" t="s">
        <v>1067</v>
      </c>
      <c r="F60" s="302" t="s">
        <v>1074</v>
      </c>
      <c r="G60" s="284"/>
      <c r="H60" s="284"/>
      <c r="I60" s="284"/>
      <c r="J60" s="284"/>
      <c r="K60" s="284"/>
      <c r="L60" s="284"/>
      <c r="M60" s="284"/>
      <c r="N60" s="284"/>
      <c r="O60" s="284">
        <v>4400</v>
      </c>
      <c r="P60" s="284"/>
      <c r="Q60" s="284"/>
      <c r="R60" s="284"/>
      <c r="S60" s="284">
        <f t="shared" ref="S60:S66" si="8">SUM(G60:R60)</f>
        <v>4400</v>
      </c>
      <c r="T60" s="473"/>
      <c r="U60" s="303" t="s">
        <v>233</v>
      </c>
      <c r="V60" s="304" t="s">
        <v>1068</v>
      </c>
      <c r="W60" s="465" t="s">
        <v>1088</v>
      </c>
      <c r="X60" s="305"/>
      <c r="Y60" s="305"/>
      <c r="Z60" s="305"/>
      <c r="AA60" s="305"/>
      <c r="AB60" s="305"/>
      <c r="AC60" s="306"/>
      <c r="AD60" s="307">
        <v>40998</v>
      </c>
      <c r="AE60" s="278">
        <f t="shared" ref="AE60:AE72" ca="1" si="9">TODAY()-DATE(YEAR(AD60)+5,MONTH(AD60),DAY(AD60))</f>
        <v>1558</v>
      </c>
      <c r="AF60" s="299" t="s">
        <v>41</v>
      </c>
    </row>
    <row r="61" spans="1:32" s="311" customFormat="1" ht="30" customHeight="1" thickBot="1" x14ac:dyDescent="0.25">
      <c r="A61" s="474" t="s">
        <v>23</v>
      </c>
      <c r="B61" s="475" t="s">
        <v>23</v>
      </c>
      <c r="C61" s="476" t="s">
        <v>372</v>
      </c>
      <c r="D61" s="477" t="s">
        <v>1022</v>
      </c>
      <c r="E61" s="349" t="s">
        <v>968</v>
      </c>
      <c r="F61" s="302" t="s">
        <v>972</v>
      </c>
      <c r="G61" s="360">
        <v>0</v>
      </c>
      <c r="H61" s="360">
        <v>0</v>
      </c>
      <c r="I61" s="360">
        <v>0</v>
      </c>
      <c r="J61" s="360">
        <v>0</v>
      </c>
      <c r="K61" s="360">
        <v>0</v>
      </c>
      <c r="L61" s="360">
        <v>0</v>
      </c>
      <c r="M61" s="360">
        <v>0</v>
      </c>
      <c r="N61" s="360">
        <v>0</v>
      </c>
      <c r="O61" s="360"/>
      <c r="P61" s="360"/>
      <c r="Q61" s="360"/>
      <c r="R61" s="360"/>
      <c r="S61" s="284">
        <f t="shared" si="8"/>
        <v>0</v>
      </c>
      <c r="T61" s="473"/>
      <c r="U61" s="303" t="s">
        <v>233</v>
      </c>
      <c r="V61" s="304" t="s">
        <v>969</v>
      </c>
      <c r="W61" s="483" t="s">
        <v>1014</v>
      </c>
      <c r="X61" s="305"/>
      <c r="Y61" s="305"/>
      <c r="Z61" s="305"/>
      <c r="AA61" s="305"/>
      <c r="AB61" s="305"/>
      <c r="AC61" s="306"/>
      <c r="AD61" s="307">
        <v>36819</v>
      </c>
      <c r="AE61" s="278">
        <f t="shared" ca="1" si="9"/>
        <v>5737</v>
      </c>
      <c r="AF61" s="474" t="s">
        <v>54</v>
      </c>
    </row>
    <row r="62" spans="1:32" s="520" customFormat="1" ht="26.25" thickBot="1" x14ac:dyDescent="0.25">
      <c r="A62" s="511" t="s">
        <v>790</v>
      </c>
      <c r="B62" s="512" t="s">
        <v>23</v>
      </c>
      <c r="C62" s="513" t="s">
        <v>130</v>
      </c>
      <c r="D62" s="493" t="s">
        <v>1113</v>
      </c>
      <c r="E62" s="514" t="s">
        <v>1114</v>
      </c>
      <c r="F62" s="515"/>
      <c r="G62" s="516"/>
      <c r="H62" s="516"/>
      <c r="I62" s="516"/>
      <c r="J62" s="516"/>
      <c r="K62" s="516"/>
      <c r="L62" s="516"/>
      <c r="M62" s="516"/>
      <c r="N62" s="516"/>
      <c r="O62" s="516"/>
      <c r="P62" s="516"/>
      <c r="Q62" s="516"/>
      <c r="R62" s="516"/>
      <c r="S62" s="495">
        <f t="shared" si="8"/>
        <v>0</v>
      </c>
      <c r="T62" s="496">
        <f t="shared" ref="T62:T72" ca="1" si="10">U62-$AE$2</f>
        <v>-2592</v>
      </c>
      <c r="U62" s="491">
        <v>41790</v>
      </c>
      <c r="V62" s="498" t="s">
        <v>1254</v>
      </c>
      <c r="W62" s="517" t="s">
        <v>1093</v>
      </c>
      <c r="X62" s="518"/>
      <c r="Y62" s="518"/>
      <c r="Z62" s="518"/>
      <c r="AA62" s="518"/>
      <c r="AB62" s="518"/>
      <c r="AC62" s="519"/>
      <c r="AD62" s="502">
        <v>41061</v>
      </c>
      <c r="AE62" s="503">
        <f t="shared" ca="1" si="9"/>
        <v>1495</v>
      </c>
      <c r="AF62" s="511" t="s">
        <v>96</v>
      </c>
    </row>
    <row r="63" spans="1:32" s="520" customFormat="1" ht="26.25" thickBot="1" x14ac:dyDescent="0.25">
      <c r="A63" s="511" t="s">
        <v>790</v>
      </c>
      <c r="B63" s="512" t="s">
        <v>23</v>
      </c>
      <c r="C63" s="513" t="s">
        <v>130</v>
      </c>
      <c r="D63" s="521" t="s">
        <v>1116</v>
      </c>
      <c r="E63" s="514" t="s">
        <v>1114</v>
      </c>
      <c r="F63" s="522"/>
      <c r="G63" s="523"/>
      <c r="H63" s="523"/>
      <c r="I63" s="523"/>
      <c r="J63" s="523"/>
      <c r="K63" s="523"/>
      <c r="L63" s="523"/>
      <c r="M63" s="523"/>
      <c r="N63" s="523"/>
      <c r="O63" s="523"/>
      <c r="P63" s="523"/>
      <c r="Q63" s="523"/>
      <c r="R63" s="523"/>
      <c r="S63" s="495">
        <f t="shared" si="8"/>
        <v>0</v>
      </c>
      <c r="T63" s="496">
        <f t="shared" ca="1" si="10"/>
        <v>-2592</v>
      </c>
      <c r="U63" s="491">
        <v>41790</v>
      </c>
      <c r="V63" s="498" t="s">
        <v>1254</v>
      </c>
      <c r="W63" s="517" t="s">
        <v>1093</v>
      </c>
      <c r="X63" s="524"/>
      <c r="Y63" s="524"/>
      <c r="Z63" s="524"/>
      <c r="AA63" s="524"/>
      <c r="AB63" s="524"/>
      <c r="AC63" s="525"/>
      <c r="AD63" s="502">
        <v>41061</v>
      </c>
      <c r="AE63" s="503">
        <f t="shared" ca="1" si="9"/>
        <v>1495</v>
      </c>
      <c r="AF63" s="511" t="s">
        <v>96</v>
      </c>
    </row>
    <row r="64" spans="1:32" s="520" customFormat="1" ht="26.25" thickBot="1" x14ac:dyDescent="0.25">
      <c r="A64" s="511" t="s">
        <v>790</v>
      </c>
      <c r="B64" s="512" t="s">
        <v>23</v>
      </c>
      <c r="C64" s="513" t="s">
        <v>130</v>
      </c>
      <c r="D64" s="493" t="s">
        <v>1117</v>
      </c>
      <c r="E64" s="514" t="s">
        <v>1114</v>
      </c>
      <c r="F64" s="522"/>
      <c r="G64" s="523"/>
      <c r="H64" s="523"/>
      <c r="I64" s="523"/>
      <c r="J64" s="523"/>
      <c r="K64" s="523"/>
      <c r="L64" s="523"/>
      <c r="M64" s="523"/>
      <c r="N64" s="523"/>
      <c r="O64" s="523"/>
      <c r="P64" s="523"/>
      <c r="Q64" s="523"/>
      <c r="R64" s="523"/>
      <c r="S64" s="495">
        <f t="shared" si="8"/>
        <v>0</v>
      </c>
      <c r="T64" s="496">
        <f t="shared" ca="1" si="10"/>
        <v>-2592</v>
      </c>
      <c r="U64" s="491">
        <v>41790</v>
      </c>
      <c r="V64" s="498" t="s">
        <v>1254</v>
      </c>
      <c r="W64" s="517" t="s">
        <v>1093</v>
      </c>
      <c r="X64" s="524"/>
      <c r="Y64" s="524"/>
      <c r="Z64" s="524"/>
      <c r="AA64" s="524"/>
      <c r="AB64" s="524"/>
      <c r="AC64" s="525"/>
      <c r="AD64" s="502">
        <v>41061</v>
      </c>
      <c r="AE64" s="503">
        <f t="shared" ca="1" si="9"/>
        <v>1495</v>
      </c>
      <c r="AF64" s="511" t="s">
        <v>96</v>
      </c>
    </row>
    <row r="65" spans="1:32" s="520" customFormat="1" ht="26.25" thickBot="1" x14ac:dyDescent="0.25">
      <c r="A65" s="511" t="s">
        <v>790</v>
      </c>
      <c r="B65" s="512" t="s">
        <v>23</v>
      </c>
      <c r="C65" s="513" t="s">
        <v>130</v>
      </c>
      <c r="D65" s="493" t="s">
        <v>1118</v>
      </c>
      <c r="E65" s="514" t="s">
        <v>1114</v>
      </c>
      <c r="F65" s="522"/>
      <c r="G65" s="523"/>
      <c r="H65" s="523"/>
      <c r="I65" s="523"/>
      <c r="J65" s="523"/>
      <c r="K65" s="523"/>
      <c r="L65" s="523"/>
      <c r="M65" s="523"/>
      <c r="N65" s="523"/>
      <c r="O65" s="523"/>
      <c r="P65" s="523"/>
      <c r="Q65" s="523"/>
      <c r="R65" s="523"/>
      <c r="S65" s="495">
        <f t="shared" si="8"/>
        <v>0</v>
      </c>
      <c r="T65" s="496">
        <f t="shared" ca="1" si="10"/>
        <v>-2592</v>
      </c>
      <c r="U65" s="491">
        <v>41790</v>
      </c>
      <c r="V65" s="498" t="s">
        <v>1254</v>
      </c>
      <c r="W65" s="517" t="s">
        <v>1093</v>
      </c>
      <c r="X65" s="524"/>
      <c r="Y65" s="524"/>
      <c r="Z65" s="524"/>
      <c r="AA65" s="524"/>
      <c r="AB65" s="524"/>
      <c r="AC65" s="525"/>
      <c r="AD65" s="502">
        <v>41061</v>
      </c>
      <c r="AE65" s="503">
        <f t="shared" ca="1" si="9"/>
        <v>1495</v>
      </c>
      <c r="AF65" s="511" t="s">
        <v>96</v>
      </c>
    </row>
    <row r="66" spans="1:32" s="520" customFormat="1" ht="26.25" thickBot="1" x14ac:dyDescent="0.25">
      <c r="A66" s="511" t="s">
        <v>790</v>
      </c>
      <c r="B66" s="512" t="s">
        <v>23</v>
      </c>
      <c r="C66" s="513" t="s">
        <v>130</v>
      </c>
      <c r="D66" s="526" t="s">
        <v>1119</v>
      </c>
      <c r="E66" s="514" t="s">
        <v>1114</v>
      </c>
      <c r="F66" s="527"/>
      <c r="G66" s="528"/>
      <c r="H66" s="528"/>
      <c r="I66" s="528"/>
      <c r="J66" s="528"/>
      <c r="K66" s="528"/>
      <c r="L66" s="528"/>
      <c r="M66" s="528"/>
      <c r="N66" s="528"/>
      <c r="O66" s="528"/>
      <c r="P66" s="528"/>
      <c r="Q66" s="528"/>
      <c r="R66" s="528"/>
      <c r="S66" s="495">
        <f t="shared" si="8"/>
        <v>0</v>
      </c>
      <c r="T66" s="496">
        <f t="shared" ca="1" si="10"/>
        <v>-2592</v>
      </c>
      <c r="U66" s="491">
        <v>41790</v>
      </c>
      <c r="V66" s="498" t="s">
        <v>1256</v>
      </c>
      <c r="W66" s="517" t="s">
        <v>1093</v>
      </c>
      <c r="X66" s="529"/>
      <c r="Y66" s="529"/>
      <c r="Z66" s="529"/>
      <c r="AA66" s="529"/>
      <c r="AB66" s="529"/>
      <c r="AC66" s="530"/>
      <c r="AD66" s="502">
        <v>41061</v>
      </c>
      <c r="AE66" s="503">
        <f t="shared" ca="1" si="9"/>
        <v>1495</v>
      </c>
      <c r="AF66" s="511" t="s">
        <v>96</v>
      </c>
    </row>
    <row r="67" spans="1:32" s="520" customFormat="1" ht="26.25" thickBot="1" x14ac:dyDescent="0.25">
      <c r="A67" s="511" t="s">
        <v>790</v>
      </c>
      <c r="B67" s="531" t="s">
        <v>23</v>
      </c>
      <c r="C67" s="513" t="s">
        <v>130</v>
      </c>
      <c r="D67" s="532" t="s">
        <v>1121</v>
      </c>
      <c r="E67" s="514" t="s">
        <v>1114</v>
      </c>
      <c r="F67" s="527"/>
      <c r="G67" s="528"/>
      <c r="H67" s="528"/>
      <c r="I67" s="528"/>
      <c r="J67" s="528"/>
      <c r="K67" s="528"/>
      <c r="L67" s="528"/>
      <c r="M67" s="528"/>
      <c r="N67" s="528"/>
      <c r="O67" s="528"/>
      <c r="P67" s="528"/>
      <c r="Q67" s="528"/>
      <c r="R67" s="528"/>
      <c r="S67" s="495">
        <f t="shared" ref="S67:S72" si="11">SUM(G67:R67)</f>
        <v>0</v>
      </c>
      <c r="T67" s="496">
        <f t="shared" ca="1" si="10"/>
        <v>-2592</v>
      </c>
      <c r="U67" s="491">
        <v>41790</v>
      </c>
      <c r="V67" s="498" t="s">
        <v>1254</v>
      </c>
      <c r="W67" s="517" t="s">
        <v>1093</v>
      </c>
      <c r="X67" s="529"/>
      <c r="Y67" s="529"/>
      <c r="Z67" s="529"/>
      <c r="AA67" s="529"/>
      <c r="AB67" s="529"/>
      <c r="AC67" s="530"/>
      <c r="AD67" s="502">
        <v>41061</v>
      </c>
      <c r="AE67" s="503">
        <f t="shared" ca="1" si="9"/>
        <v>1495</v>
      </c>
      <c r="AF67" s="511" t="s">
        <v>96</v>
      </c>
    </row>
    <row r="68" spans="1:32" s="505" customFormat="1" ht="26.25" thickBot="1" x14ac:dyDescent="0.25">
      <c r="A68" s="511" t="s">
        <v>790</v>
      </c>
      <c r="B68" s="531" t="s">
        <v>23</v>
      </c>
      <c r="C68" s="513" t="s">
        <v>130</v>
      </c>
      <c r="D68" s="532" t="s">
        <v>1120</v>
      </c>
      <c r="E68" s="514" t="s">
        <v>1114</v>
      </c>
      <c r="F68" s="527"/>
      <c r="G68" s="528"/>
      <c r="H68" s="528"/>
      <c r="I68" s="528"/>
      <c r="J68" s="528"/>
      <c r="K68" s="528"/>
      <c r="L68" s="528"/>
      <c r="M68" s="528"/>
      <c r="N68" s="528"/>
      <c r="O68" s="528"/>
      <c r="P68" s="528"/>
      <c r="Q68" s="528"/>
      <c r="R68" s="528"/>
      <c r="S68" s="495">
        <f t="shared" si="11"/>
        <v>0</v>
      </c>
      <c r="T68" s="496">
        <f t="shared" ca="1" si="10"/>
        <v>-2592</v>
      </c>
      <c r="U68" s="491">
        <v>41790</v>
      </c>
      <c r="V68" s="498" t="s">
        <v>1254</v>
      </c>
      <c r="W68" s="517" t="s">
        <v>1093</v>
      </c>
      <c r="X68" s="529"/>
      <c r="Y68" s="529"/>
      <c r="Z68" s="529"/>
      <c r="AA68" s="529"/>
      <c r="AB68" s="529"/>
      <c r="AC68" s="530"/>
      <c r="AD68" s="502">
        <v>41061</v>
      </c>
      <c r="AE68" s="503">
        <f t="shared" ca="1" si="9"/>
        <v>1495</v>
      </c>
      <c r="AF68" s="511" t="s">
        <v>96</v>
      </c>
    </row>
    <row r="69" spans="1:32" ht="26.25" thickBot="1" x14ac:dyDescent="0.25">
      <c r="A69" s="474" t="s">
        <v>790</v>
      </c>
      <c r="B69" s="485" t="s">
        <v>23</v>
      </c>
      <c r="C69" s="476" t="s">
        <v>130</v>
      </c>
      <c r="D69" s="340" t="s">
        <v>1122</v>
      </c>
      <c r="E69" s="464" t="s">
        <v>1114</v>
      </c>
      <c r="F69" s="482"/>
      <c r="G69" s="481"/>
      <c r="H69" s="481"/>
      <c r="I69" s="481"/>
      <c r="J69" s="481"/>
      <c r="K69" s="481"/>
      <c r="L69" s="481"/>
      <c r="M69" s="481"/>
      <c r="N69" s="481"/>
      <c r="O69" s="481"/>
      <c r="P69" s="481"/>
      <c r="Q69" s="481"/>
      <c r="R69" s="481"/>
      <c r="S69" s="284">
        <f t="shared" si="11"/>
        <v>0</v>
      </c>
      <c r="T69" s="274">
        <f t="shared" ca="1" si="10"/>
        <v>-2592</v>
      </c>
      <c r="U69" s="303">
        <v>41790</v>
      </c>
      <c r="V69" s="304" t="s">
        <v>1254</v>
      </c>
      <c r="W69" s="484" t="s">
        <v>1093</v>
      </c>
      <c r="X69" s="479"/>
      <c r="Y69" s="479"/>
      <c r="Z69" s="479"/>
      <c r="AA69" s="479"/>
      <c r="AB69" s="479"/>
      <c r="AC69" s="480"/>
      <c r="AD69" s="307">
        <v>41061</v>
      </c>
      <c r="AE69" s="278">
        <f t="shared" ca="1" si="9"/>
        <v>1495</v>
      </c>
      <c r="AF69" s="474" t="s">
        <v>96</v>
      </c>
    </row>
    <row r="70" spans="1:32" ht="26.25" thickBot="1" x14ac:dyDescent="0.25">
      <c r="A70" s="474" t="s">
        <v>790</v>
      </c>
      <c r="B70" s="485" t="s">
        <v>23</v>
      </c>
      <c r="C70" s="476" t="s">
        <v>130</v>
      </c>
      <c r="D70" s="340" t="s">
        <v>1123</v>
      </c>
      <c r="E70" s="464" t="s">
        <v>1114</v>
      </c>
      <c r="F70" s="482"/>
      <c r="G70" s="481"/>
      <c r="H70" s="481"/>
      <c r="I70" s="481"/>
      <c r="J70" s="481"/>
      <c r="K70" s="481"/>
      <c r="L70" s="481"/>
      <c r="M70" s="481"/>
      <c r="N70" s="481"/>
      <c r="O70" s="481"/>
      <c r="P70" s="481"/>
      <c r="Q70" s="481"/>
      <c r="R70" s="481"/>
      <c r="S70" s="284">
        <f t="shared" si="11"/>
        <v>0</v>
      </c>
      <c r="T70" s="274">
        <f t="shared" ca="1" si="10"/>
        <v>-2592</v>
      </c>
      <c r="U70" s="303">
        <v>41790</v>
      </c>
      <c r="V70" s="304" t="s">
        <v>1254</v>
      </c>
      <c r="W70" s="484" t="s">
        <v>1093</v>
      </c>
      <c r="X70" s="479"/>
      <c r="Y70" s="479"/>
      <c r="Z70" s="479"/>
      <c r="AA70" s="479"/>
      <c r="AB70" s="479"/>
      <c r="AC70" s="480"/>
      <c r="AD70" s="307">
        <v>41061</v>
      </c>
      <c r="AE70" s="278">
        <f t="shared" ca="1" si="9"/>
        <v>1495</v>
      </c>
      <c r="AF70" s="474" t="s">
        <v>96</v>
      </c>
    </row>
    <row r="71" spans="1:32" ht="26.25" thickBot="1" x14ac:dyDescent="0.25">
      <c r="A71" s="474" t="s">
        <v>790</v>
      </c>
      <c r="B71" s="485" t="s">
        <v>23</v>
      </c>
      <c r="C71" s="476" t="s">
        <v>130</v>
      </c>
      <c r="D71" s="340" t="s">
        <v>1124</v>
      </c>
      <c r="E71" s="464" t="s">
        <v>1114</v>
      </c>
      <c r="F71" s="482"/>
      <c r="G71" s="481"/>
      <c r="H71" s="481"/>
      <c r="I71" s="481"/>
      <c r="J71" s="481"/>
      <c r="K71" s="481"/>
      <c r="L71" s="481"/>
      <c r="M71" s="481"/>
      <c r="N71" s="481"/>
      <c r="O71" s="481"/>
      <c r="P71" s="481"/>
      <c r="Q71" s="481"/>
      <c r="R71" s="481"/>
      <c r="S71" s="284">
        <f t="shared" si="11"/>
        <v>0</v>
      </c>
      <c r="T71" s="274">
        <f t="shared" ca="1" si="10"/>
        <v>-2592</v>
      </c>
      <c r="U71" s="303">
        <v>41790</v>
      </c>
      <c r="V71" s="304" t="s">
        <v>1254</v>
      </c>
      <c r="W71" s="484" t="s">
        <v>1093</v>
      </c>
      <c r="X71" s="479"/>
      <c r="Y71" s="479"/>
      <c r="Z71" s="479"/>
      <c r="AA71" s="479"/>
      <c r="AB71" s="479"/>
      <c r="AC71" s="480"/>
      <c r="AD71" s="307">
        <v>41061</v>
      </c>
      <c r="AE71" s="278">
        <f t="shared" ca="1" si="9"/>
        <v>1495</v>
      </c>
      <c r="AF71" s="474" t="s">
        <v>96</v>
      </c>
    </row>
    <row r="72" spans="1:32" ht="26.25" thickBot="1" x14ac:dyDescent="0.25">
      <c r="A72" s="474" t="s">
        <v>790</v>
      </c>
      <c r="B72" s="485" t="s">
        <v>23</v>
      </c>
      <c r="C72" s="476" t="s">
        <v>130</v>
      </c>
      <c r="D72" s="340" t="s">
        <v>1125</v>
      </c>
      <c r="E72" s="464" t="s">
        <v>1114</v>
      </c>
      <c r="F72" s="482"/>
      <c r="G72" s="481"/>
      <c r="H72" s="481"/>
      <c r="I72" s="481"/>
      <c r="J72" s="481"/>
      <c r="K72" s="481"/>
      <c r="L72" s="481"/>
      <c r="M72" s="481"/>
      <c r="N72" s="481"/>
      <c r="O72" s="481"/>
      <c r="P72" s="481"/>
      <c r="Q72" s="481"/>
      <c r="R72" s="481"/>
      <c r="S72" s="284">
        <f t="shared" si="11"/>
        <v>0</v>
      </c>
      <c r="T72" s="274">
        <f t="shared" ca="1" si="10"/>
        <v>-2957</v>
      </c>
      <c r="U72" s="303">
        <v>41425</v>
      </c>
      <c r="V72" s="304" t="s">
        <v>1115</v>
      </c>
      <c r="W72" s="484" t="s">
        <v>1093</v>
      </c>
      <c r="X72" s="479"/>
      <c r="Y72" s="479"/>
      <c r="Z72" s="479"/>
      <c r="AA72" s="479"/>
      <c r="AB72" s="479"/>
      <c r="AC72" s="480"/>
      <c r="AD72" s="307">
        <v>41061</v>
      </c>
      <c r="AE72" s="278">
        <f t="shared" ca="1" si="9"/>
        <v>1495</v>
      </c>
      <c r="AF72" s="474" t="s">
        <v>96</v>
      </c>
    </row>
    <row r="73" spans="1:32" s="505" customFormat="1" ht="26.25" thickBot="1" x14ac:dyDescent="0.25">
      <c r="A73" s="511" t="s">
        <v>1126</v>
      </c>
      <c r="B73" s="531" t="s">
        <v>23</v>
      </c>
      <c r="C73" s="492" t="s">
        <v>56</v>
      </c>
      <c r="D73" s="493" t="s">
        <v>1127</v>
      </c>
      <c r="E73" s="514" t="s">
        <v>1128</v>
      </c>
      <c r="F73" s="527"/>
      <c r="G73" s="528"/>
      <c r="H73" s="528"/>
      <c r="I73" s="528"/>
      <c r="J73" s="528"/>
      <c r="K73" s="528"/>
      <c r="L73" s="528"/>
      <c r="M73" s="528"/>
      <c r="N73" s="528"/>
      <c r="O73" s="528"/>
      <c r="P73" s="528"/>
      <c r="Q73" s="528"/>
      <c r="R73" s="528"/>
      <c r="S73" s="495">
        <f>SUM(G73:R73)</f>
        <v>0</v>
      </c>
      <c r="T73" s="496">
        <f t="shared" ref="T73:T114" ca="1" si="12">U73-$AE$2</f>
        <v>-2936</v>
      </c>
      <c r="U73" s="491">
        <v>41446</v>
      </c>
      <c r="V73" s="498" t="s">
        <v>1129</v>
      </c>
      <c r="W73" s="499" t="s">
        <v>750</v>
      </c>
      <c r="X73" s="529"/>
      <c r="Y73" s="529"/>
      <c r="Z73" s="529"/>
      <c r="AA73" s="529"/>
      <c r="AB73" s="529"/>
      <c r="AC73" s="530"/>
      <c r="AD73" s="502">
        <v>41082</v>
      </c>
      <c r="AE73" s="503">
        <f t="shared" ref="AE73:AE78" ca="1" si="13">TODAY()-DATE(YEAR(AD73)+5,MONTH(AD73),DAY(AD73))</f>
        <v>1474</v>
      </c>
      <c r="AF73" s="511" t="s">
        <v>96</v>
      </c>
    </row>
    <row r="74" spans="1:32" ht="13.5" thickBot="1" x14ac:dyDescent="0.25">
      <c r="A74" s="474" t="s">
        <v>1130</v>
      </c>
      <c r="B74" s="485" t="s">
        <v>23</v>
      </c>
      <c r="C74" s="299" t="s">
        <v>56</v>
      </c>
      <c r="D74" s="301" t="s">
        <v>1134</v>
      </c>
      <c r="E74" s="464" t="s">
        <v>1144</v>
      </c>
      <c r="F74" s="482">
        <v>48220</v>
      </c>
      <c r="G74" s="481"/>
      <c r="H74" s="481"/>
      <c r="I74" s="481"/>
      <c r="J74" s="481"/>
      <c r="K74" s="481"/>
      <c r="L74" s="481"/>
      <c r="M74" s="481"/>
      <c r="N74" s="481"/>
      <c r="O74" s="481"/>
      <c r="P74" s="481"/>
      <c r="Q74" s="481"/>
      <c r="R74" s="481"/>
      <c r="S74" s="284">
        <f>SUM(G74:R74)</f>
        <v>0</v>
      </c>
      <c r="T74" s="274">
        <f t="shared" ca="1" si="12"/>
        <v>-2873</v>
      </c>
      <c r="U74" s="303">
        <v>41509</v>
      </c>
      <c r="V74" s="304" t="s">
        <v>1135</v>
      </c>
      <c r="W74" s="315"/>
      <c r="X74" s="479"/>
      <c r="Y74" s="479"/>
      <c r="Z74" s="479"/>
      <c r="AA74" s="479"/>
      <c r="AB74" s="479"/>
      <c r="AC74" s="480"/>
      <c r="AD74" s="307">
        <v>41144</v>
      </c>
      <c r="AE74" s="278">
        <f t="shared" ca="1" si="13"/>
        <v>1412</v>
      </c>
      <c r="AF74" s="474" t="s">
        <v>41</v>
      </c>
    </row>
    <row r="75" spans="1:32" ht="13.5" thickBot="1" x14ac:dyDescent="0.25">
      <c r="A75" s="474" t="s">
        <v>1132</v>
      </c>
      <c r="B75" s="485" t="s">
        <v>23</v>
      </c>
      <c r="C75" s="299" t="s">
        <v>56</v>
      </c>
      <c r="D75" s="301" t="s">
        <v>1136</v>
      </c>
      <c r="E75" s="464" t="s">
        <v>1137</v>
      </c>
      <c r="F75" s="482"/>
      <c r="G75" s="481"/>
      <c r="H75" s="481"/>
      <c r="I75" s="481"/>
      <c r="J75" s="481"/>
      <c r="K75" s="481"/>
      <c r="L75" s="481"/>
      <c r="M75" s="481"/>
      <c r="N75" s="481"/>
      <c r="O75" s="481"/>
      <c r="P75" s="481"/>
      <c r="Q75" s="481"/>
      <c r="R75" s="481"/>
      <c r="S75" s="284">
        <f>SUM(G75:R75)</f>
        <v>0</v>
      </c>
      <c r="T75" s="274">
        <f t="shared" ca="1" si="12"/>
        <v>-3160</v>
      </c>
      <c r="U75" s="303">
        <v>41222</v>
      </c>
      <c r="V75" s="304" t="s">
        <v>1138</v>
      </c>
      <c r="W75" s="315"/>
      <c r="X75" s="479"/>
      <c r="Y75" s="479"/>
      <c r="Z75" s="479"/>
      <c r="AA75" s="479"/>
      <c r="AB75" s="479"/>
      <c r="AC75" s="480"/>
      <c r="AD75" s="307">
        <v>41130</v>
      </c>
      <c r="AE75" s="278">
        <f t="shared" ca="1" si="13"/>
        <v>1426</v>
      </c>
      <c r="AF75" s="474" t="s">
        <v>41</v>
      </c>
    </row>
    <row r="76" spans="1:32" ht="26.25" thickBot="1" x14ac:dyDescent="0.25">
      <c r="A76" s="474" t="s">
        <v>1131</v>
      </c>
      <c r="B76" s="485" t="s">
        <v>23</v>
      </c>
      <c r="C76" s="299" t="s">
        <v>56</v>
      </c>
      <c r="D76" s="301" t="s">
        <v>1139</v>
      </c>
      <c r="E76" s="464" t="s">
        <v>1140</v>
      </c>
      <c r="F76" s="482"/>
      <c r="G76" s="481"/>
      <c r="H76" s="481"/>
      <c r="I76" s="481"/>
      <c r="J76" s="481"/>
      <c r="K76" s="481"/>
      <c r="L76" s="481"/>
      <c r="M76" s="481"/>
      <c r="N76" s="481"/>
      <c r="O76" s="481"/>
      <c r="P76" s="481"/>
      <c r="Q76" s="481"/>
      <c r="R76" s="481"/>
      <c r="S76" s="284">
        <f>SUM(G76:R76)</f>
        <v>0</v>
      </c>
      <c r="T76" s="274" t="e">
        <f t="shared" ca="1" si="12"/>
        <v>#VALUE!</v>
      </c>
      <c r="U76" s="303" t="s">
        <v>1142</v>
      </c>
      <c r="V76" s="304" t="s">
        <v>1141</v>
      </c>
      <c r="W76" s="315"/>
      <c r="X76" s="479"/>
      <c r="Y76" s="479"/>
      <c r="Z76" s="479"/>
      <c r="AA76" s="479"/>
      <c r="AB76" s="479"/>
      <c r="AC76" s="480"/>
      <c r="AD76" s="307">
        <v>41148</v>
      </c>
      <c r="AE76" s="278">
        <f t="shared" ca="1" si="13"/>
        <v>1408</v>
      </c>
      <c r="AF76" s="474"/>
    </row>
    <row r="77" spans="1:32" ht="26.25" thickBot="1" x14ac:dyDescent="0.25">
      <c r="A77" s="474" t="s">
        <v>790</v>
      </c>
      <c r="B77" s="485" t="s">
        <v>23</v>
      </c>
      <c r="C77" s="299" t="s">
        <v>130</v>
      </c>
      <c r="D77" s="301" t="s">
        <v>1143</v>
      </c>
      <c r="E77" s="464" t="s">
        <v>1145</v>
      </c>
      <c r="F77" s="482"/>
      <c r="G77" s="481"/>
      <c r="H77" s="481"/>
      <c r="I77" s="481"/>
      <c r="J77" s="481"/>
      <c r="K77" s="481"/>
      <c r="L77" s="481"/>
      <c r="M77" s="481"/>
      <c r="N77" s="481"/>
      <c r="O77" s="481"/>
      <c r="P77" s="481"/>
      <c r="Q77" s="481"/>
      <c r="R77" s="481"/>
      <c r="S77" s="284">
        <f>SUM(G77:R77)</f>
        <v>0</v>
      </c>
      <c r="T77" s="274">
        <f t="shared" ca="1" si="12"/>
        <v>-2887</v>
      </c>
      <c r="U77" s="303">
        <v>41495</v>
      </c>
      <c r="V77" s="304" t="s">
        <v>1146</v>
      </c>
      <c r="W77" s="315" t="s">
        <v>1147</v>
      </c>
      <c r="X77" s="479"/>
      <c r="Y77" s="479"/>
      <c r="Z77" s="479"/>
      <c r="AA77" s="479"/>
      <c r="AB77" s="479"/>
      <c r="AC77" s="480"/>
      <c r="AD77" s="307">
        <v>41130</v>
      </c>
      <c r="AE77" s="278">
        <f t="shared" ca="1" si="13"/>
        <v>1426</v>
      </c>
      <c r="AF77" s="474"/>
    </row>
    <row r="78" spans="1:32" ht="26.25" thickBot="1" x14ac:dyDescent="0.25">
      <c r="A78" s="474" t="s">
        <v>1148</v>
      </c>
      <c r="B78" s="485" t="s">
        <v>23</v>
      </c>
      <c r="C78" s="299" t="s">
        <v>37</v>
      </c>
      <c r="D78" s="301" t="s">
        <v>1149</v>
      </c>
      <c r="E78" s="464" t="s">
        <v>1150</v>
      </c>
      <c r="F78" s="482">
        <v>7500</v>
      </c>
      <c r="G78" s="481"/>
      <c r="H78" s="481"/>
      <c r="I78" s="481"/>
      <c r="J78" s="481"/>
      <c r="K78" s="481"/>
      <c r="L78" s="481"/>
      <c r="M78" s="481"/>
      <c r="N78" s="481"/>
      <c r="O78" s="481"/>
      <c r="P78" s="481"/>
      <c r="Q78" s="481"/>
      <c r="R78" s="481"/>
      <c r="S78" s="284">
        <f t="shared" ref="S78:S104" si="14">SUM(G78:R78)</f>
        <v>0</v>
      </c>
      <c r="T78" s="274">
        <f t="shared" ca="1" si="12"/>
        <v>-3166</v>
      </c>
      <c r="U78" s="303">
        <v>41216</v>
      </c>
      <c r="V78" s="304" t="s">
        <v>1151</v>
      </c>
      <c r="W78" s="315"/>
      <c r="X78" s="479"/>
      <c r="Y78" s="479"/>
      <c r="Z78" s="479"/>
      <c r="AA78" s="479"/>
      <c r="AB78" s="479"/>
      <c r="AC78" s="480"/>
      <c r="AD78" s="307">
        <v>41155</v>
      </c>
      <c r="AE78" s="278">
        <f t="shared" ca="1" si="13"/>
        <v>1401</v>
      </c>
      <c r="AF78" s="474"/>
    </row>
    <row r="79" spans="1:32" ht="26.25" thickBot="1" x14ac:dyDescent="0.25">
      <c r="A79" s="299" t="s">
        <v>1155</v>
      </c>
      <c r="B79" s="299" t="s">
        <v>1154</v>
      </c>
      <c r="C79" s="299" t="s">
        <v>613</v>
      </c>
      <c r="D79" s="301" t="s">
        <v>1050</v>
      </c>
      <c r="E79" s="301" t="s">
        <v>1209</v>
      </c>
      <c r="F79" s="302">
        <v>86250</v>
      </c>
      <c r="G79" s="284"/>
      <c r="H79" s="284">
        <v>6864.88</v>
      </c>
      <c r="I79" s="284">
        <v>690</v>
      </c>
      <c r="J79" s="284"/>
      <c r="K79" s="284"/>
      <c r="L79" s="284"/>
      <c r="M79" s="284"/>
      <c r="N79" s="284">
        <v>3792.25</v>
      </c>
      <c r="O79" s="284"/>
      <c r="P79" s="284">
        <v>12500</v>
      </c>
      <c r="Q79" s="284">
        <v>6250</v>
      </c>
      <c r="R79" s="284">
        <v>6250</v>
      </c>
      <c r="S79" s="284">
        <f t="shared" si="14"/>
        <v>36347.130000000005</v>
      </c>
      <c r="T79" s="274">
        <f t="shared" ca="1" si="12"/>
        <v>-2515</v>
      </c>
      <c r="U79" s="303">
        <v>41867</v>
      </c>
      <c r="V79" s="304" t="s">
        <v>1284</v>
      </c>
      <c r="W79" s="315" t="s">
        <v>731</v>
      </c>
      <c r="X79" s="305"/>
      <c r="Y79" s="305"/>
      <c r="Z79" s="305"/>
      <c r="AA79" s="305"/>
      <c r="AB79" s="305"/>
      <c r="AC79" s="306"/>
      <c r="AD79" s="307">
        <v>41138</v>
      </c>
      <c r="AE79" s="278">
        <f ca="1">TODAY()-DATE(YEAR(AD79)+6,MONTH(AD79),DAY(AD79))</f>
        <v>1053</v>
      </c>
      <c r="AF79" s="299" t="s">
        <v>169</v>
      </c>
    </row>
    <row r="80" spans="1:32" ht="24.75" customHeight="1" thickBot="1" x14ac:dyDescent="0.25">
      <c r="A80" s="299" t="s">
        <v>1156</v>
      </c>
      <c r="B80" s="299" t="s">
        <v>23</v>
      </c>
      <c r="C80" s="299" t="s">
        <v>24</v>
      </c>
      <c r="D80" s="301" t="s">
        <v>216</v>
      </c>
      <c r="E80" s="301" t="s">
        <v>217</v>
      </c>
      <c r="F80" s="302" t="s">
        <v>375</v>
      </c>
      <c r="G80" s="284"/>
      <c r="H80" s="284"/>
      <c r="I80" s="284"/>
      <c r="J80" s="284"/>
      <c r="K80" s="284"/>
      <c r="L80" s="284"/>
      <c r="M80" s="284"/>
      <c r="N80" s="284"/>
      <c r="O80" s="284"/>
      <c r="P80" s="284"/>
      <c r="Q80" s="284"/>
      <c r="R80" s="284"/>
      <c r="S80" s="284">
        <f t="shared" si="14"/>
        <v>0</v>
      </c>
      <c r="T80" s="274">
        <f t="shared" ca="1" si="12"/>
        <v>-1353</v>
      </c>
      <c r="U80" s="303">
        <v>43029</v>
      </c>
      <c r="V80" s="304" t="s">
        <v>1157</v>
      </c>
      <c r="W80" s="315" t="s">
        <v>757</v>
      </c>
      <c r="X80" s="305"/>
      <c r="Y80" s="305"/>
      <c r="Z80" s="305"/>
      <c r="AA80" s="305"/>
      <c r="AB80" s="305"/>
      <c r="AC80" s="306"/>
      <c r="AD80" s="307">
        <v>41204</v>
      </c>
      <c r="AE80" s="278">
        <f ca="1">TODAY()-DATE(YEAR(AD80)+6,MONTH(AD80),DAY(AD80))</f>
        <v>987</v>
      </c>
      <c r="AF80" s="299" t="s">
        <v>169</v>
      </c>
    </row>
    <row r="81" spans="1:32" s="505" customFormat="1" ht="26.25" thickBot="1" x14ac:dyDescent="0.25">
      <c r="A81" s="492" t="s">
        <v>1158</v>
      </c>
      <c r="B81" s="492" t="s">
        <v>590</v>
      </c>
      <c r="C81" s="492"/>
      <c r="D81" s="493" t="s">
        <v>1159</v>
      </c>
      <c r="E81" s="493" t="s">
        <v>1160</v>
      </c>
      <c r="F81" s="494">
        <v>13899.74</v>
      </c>
      <c r="G81" s="495">
        <v>1517.19</v>
      </c>
      <c r="H81" s="495">
        <v>1054.5</v>
      </c>
      <c r="I81" s="495">
        <v>1224.0999999999999</v>
      </c>
      <c r="J81" s="495">
        <v>1278.3800000000001</v>
      </c>
      <c r="K81" s="495">
        <v>1303.42</v>
      </c>
      <c r="L81" s="495">
        <v>1332.29</v>
      </c>
      <c r="M81" s="495">
        <v>1440.79</v>
      </c>
      <c r="N81" s="495">
        <v>1846.99</v>
      </c>
      <c r="O81" s="495"/>
      <c r="P81" s="495">
        <v>2038.07</v>
      </c>
      <c r="Q81" s="495">
        <v>1401.95</v>
      </c>
      <c r="R81" s="495"/>
      <c r="S81" s="495">
        <f t="shared" si="14"/>
        <v>14437.68</v>
      </c>
      <c r="T81" s="496">
        <f t="shared" ca="1" si="12"/>
        <v>-2832</v>
      </c>
      <c r="U81" s="491">
        <v>41550</v>
      </c>
      <c r="V81" s="498" t="s">
        <v>1161</v>
      </c>
      <c r="W81" s="499" t="s">
        <v>1093</v>
      </c>
      <c r="X81" s="500"/>
      <c r="Y81" s="500"/>
      <c r="Z81" s="500"/>
      <c r="AA81" s="500"/>
      <c r="AB81" s="500"/>
      <c r="AC81" s="501"/>
      <c r="AD81" s="502">
        <v>41186</v>
      </c>
      <c r="AE81" s="503">
        <f t="shared" ref="AE81:AE114" ca="1" si="15">TODAY()-DATE(YEAR(AD81)+6,MONTH(AD81),DAY(AD81))</f>
        <v>1005</v>
      </c>
      <c r="AF81" s="492"/>
    </row>
    <row r="82" spans="1:32" s="505" customFormat="1" ht="26.25" thickBot="1" x14ac:dyDescent="0.25">
      <c r="A82" s="492" t="s">
        <v>1162</v>
      </c>
      <c r="B82" s="492" t="s">
        <v>23</v>
      </c>
      <c r="C82" s="492"/>
      <c r="D82" s="493" t="s">
        <v>1163</v>
      </c>
      <c r="E82" s="493" t="s">
        <v>1164</v>
      </c>
      <c r="F82" s="494">
        <v>1382.4</v>
      </c>
      <c r="G82" s="495"/>
      <c r="H82" s="495"/>
      <c r="I82" s="495"/>
      <c r="J82" s="495"/>
      <c r="K82" s="495"/>
      <c r="L82" s="495"/>
      <c r="M82" s="495"/>
      <c r="N82" s="495"/>
      <c r="O82" s="495"/>
      <c r="P82" s="495"/>
      <c r="Q82" s="495"/>
      <c r="R82" s="495"/>
      <c r="S82" s="495">
        <f t="shared" si="14"/>
        <v>0</v>
      </c>
      <c r="T82" s="496">
        <f t="shared" ca="1" si="12"/>
        <v>-2825</v>
      </c>
      <c r="U82" s="491">
        <v>41557</v>
      </c>
      <c r="V82" s="498" t="s">
        <v>1165</v>
      </c>
      <c r="W82" s="499" t="s">
        <v>1093</v>
      </c>
      <c r="X82" s="500"/>
      <c r="Y82" s="500"/>
      <c r="Z82" s="500"/>
      <c r="AA82" s="500"/>
      <c r="AB82" s="500"/>
      <c r="AC82" s="501"/>
      <c r="AD82" s="502">
        <v>41193</v>
      </c>
      <c r="AE82" s="503">
        <f t="shared" ca="1" si="15"/>
        <v>998</v>
      </c>
      <c r="AF82" s="492"/>
    </row>
    <row r="83" spans="1:32" s="505" customFormat="1" ht="26.25" thickBot="1" x14ac:dyDescent="0.25">
      <c r="A83" s="492" t="s">
        <v>1166</v>
      </c>
      <c r="B83" s="492" t="s">
        <v>23</v>
      </c>
      <c r="C83" s="492"/>
      <c r="D83" s="493" t="s">
        <v>1167</v>
      </c>
      <c r="E83" s="493" t="s">
        <v>1168</v>
      </c>
      <c r="F83" s="494">
        <v>12279</v>
      </c>
      <c r="G83" s="495">
        <v>820</v>
      </c>
      <c r="H83" s="495">
        <v>476</v>
      </c>
      <c r="I83" s="495">
        <v>1496</v>
      </c>
      <c r="J83" s="495">
        <v>4818.2</v>
      </c>
      <c r="K83" s="495">
        <v>5635</v>
      </c>
      <c r="L83" s="495">
        <v>2209.6999999999998</v>
      </c>
      <c r="M83" s="495">
        <v>2370</v>
      </c>
      <c r="N83" s="495"/>
      <c r="O83" s="495"/>
      <c r="P83" s="495">
        <v>4621.2</v>
      </c>
      <c r="Q83" s="495"/>
      <c r="R83" s="495">
        <v>1585.5</v>
      </c>
      <c r="S83" s="495">
        <f t="shared" si="14"/>
        <v>24031.600000000002</v>
      </c>
      <c r="T83" s="496">
        <f t="shared" ca="1" si="12"/>
        <v>-2825</v>
      </c>
      <c r="U83" s="491">
        <v>41557</v>
      </c>
      <c r="V83" s="498" t="s">
        <v>1165</v>
      </c>
      <c r="W83" s="499" t="s">
        <v>1093</v>
      </c>
      <c r="X83" s="500"/>
      <c r="Y83" s="500"/>
      <c r="Z83" s="500"/>
      <c r="AA83" s="500"/>
      <c r="AB83" s="500"/>
      <c r="AC83" s="501"/>
      <c r="AD83" s="502">
        <v>41193</v>
      </c>
      <c r="AE83" s="503">
        <f t="shared" ca="1" si="15"/>
        <v>998</v>
      </c>
      <c r="AF83" s="492"/>
    </row>
    <row r="84" spans="1:32" s="505" customFormat="1" ht="26.25" thickBot="1" x14ac:dyDescent="0.25">
      <c r="A84" s="492" t="s">
        <v>1170</v>
      </c>
      <c r="B84" s="492" t="s">
        <v>23</v>
      </c>
      <c r="C84" s="492"/>
      <c r="D84" s="493" t="s">
        <v>1171</v>
      </c>
      <c r="E84" s="493" t="s">
        <v>1172</v>
      </c>
      <c r="F84" s="494">
        <v>8249.16</v>
      </c>
      <c r="G84" s="495"/>
      <c r="H84" s="495"/>
      <c r="I84" s="495"/>
      <c r="J84" s="495"/>
      <c r="K84" s="495"/>
      <c r="L84" s="495"/>
      <c r="M84" s="495"/>
      <c r="N84" s="495"/>
      <c r="O84" s="495"/>
      <c r="P84" s="495"/>
      <c r="Q84" s="495"/>
      <c r="R84" s="495"/>
      <c r="S84" s="495">
        <f t="shared" si="14"/>
        <v>0</v>
      </c>
      <c r="T84" s="496">
        <f t="shared" ca="1" si="12"/>
        <v>-2814</v>
      </c>
      <c r="U84" s="491">
        <v>41568</v>
      </c>
      <c r="V84" s="498" t="s">
        <v>1173</v>
      </c>
      <c r="W84" s="499" t="s">
        <v>1093</v>
      </c>
      <c r="X84" s="500"/>
      <c r="Y84" s="500"/>
      <c r="Z84" s="500"/>
      <c r="AA84" s="500"/>
      <c r="AB84" s="500"/>
      <c r="AC84" s="501"/>
      <c r="AD84" s="502">
        <v>41204</v>
      </c>
      <c r="AE84" s="503">
        <f t="shared" ca="1" si="15"/>
        <v>987</v>
      </c>
      <c r="AF84" s="492"/>
    </row>
    <row r="85" spans="1:32" s="505" customFormat="1" ht="26.25" thickBot="1" x14ac:dyDescent="0.25">
      <c r="A85" s="492" t="s">
        <v>1174</v>
      </c>
      <c r="B85" s="492" t="s">
        <v>23</v>
      </c>
      <c r="C85" s="492"/>
      <c r="D85" s="493" t="s">
        <v>1175</v>
      </c>
      <c r="E85" s="493" t="s">
        <v>1176</v>
      </c>
      <c r="F85" s="494">
        <v>131897.70000000001</v>
      </c>
      <c r="G85" s="495"/>
      <c r="H85" s="495"/>
      <c r="I85" s="495"/>
      <c r="J85" s="495"/>
      <c r="K85" s="495"/>
      <c r="L85" s="495"/>
      <c r="M85" s="495"/>
      <c r="N85" s="495"/>
      <c r="O85" s="495"/>
      <c r="P85" s="495"/>
      <c r="Q85" s="495"/>
      <c r="R85" s="495"/>
      <c r="S85" s="495">
        <f t="shared" si="14"/>
        <v>0</v>
      </c>
      <c r="T85" s="496">
        <f t="shared" ca="1" si="12"/>
        <v>-2806</v>
      </c>
      <c r="U85" s="491">
        <v>41576</v>
      </c>
      <c r="V85" s="498" t="s">
        <v>1177</v>
      </c>
      <c r="W85" s="499" t="s">
        <v>1147</v>
      </c>
      <c r="X85" s="500"/>
      <c r="Y85" s="500"/>
      <c r="Z85" s="500"/>
      <c r="AA85" s="500"/>
      <c r="AB85" s="500"/>
      <c r="AC85" s="501"/>
      <c r="AD85" s="502">
        <v>41212</v>
      </c>
      <c r="AE85" s="503">
        <f t="shared" ca="1" si="15"/>
        <v>979</v>
      </c>
      <c r="AF85" s="492"/>
    </row>
    <row r="86" spans="1:32" s="505" customFormat="1" ht="26.25" thickBot="1" x14ac:dyDescent="0.25">
      <c r="A86" s="492" t="s">
        <v>790</v>
      </c>
      <c r="B86" s="492" t="s">
        <v>23</v>
      </c>
      <c r="C86" s="492" t="s">
        <v>130</v>
      </c>
      <c r="D86" s="493" t="s">
        <v>1181</v>
      </c>
      <c r="E86" s="493" t="s">
        <v>1182</v>
      </c>
      <c r="F86" s="494"/>
      <c r="G86" s="495"/>
      <c r="H86" s="495"/>
      <c r="I86" s="495"/>
      <c r="J86" s="495"/>
      <c r="K86" s="495"/>
      <c r="L86" s="495"/>
      <c r="M86" s="495"/>
      <c r="N86" s="495"/>
      <c r="O86" s="495"/>
      <c r="P86" s="495"/>
      <c r="Q86" s="495"/>
      <c r="R86" s="495"/>
      <c r="S86" s="495">
        <f t="shared" si="14"/>
        <v>0</v>
      </c>
      <c r="T86" s="496">
        <f t="shared" ca="1" si="12"/>
        <v>-2821</v>
      </c>
      <c r="U86" s="491">
        <v>41561</v>
      </c>
      <c r="V86" s="498" t="s">
        <v>1183</v>
      </c>
      <c r="W86" s="499" t="s">
        <v>1147</v>
      </c>
      <c r="X86" s="500"/>
      <c r="Y86" s="500"/>
      <c r="Z86" s="500"/>
      <c r="AA86" s="500"/>
      <c r="AB86" s="500"/>
      <c r="AC86" s="501"/>
      <c r="AD86" s="502">
        <v>41197</v>
      </c>
      <c r="AE86" s="503">
        <f t="shared" ca="1" si="15"/>
        <v>994</v>
      </c>
      <c r="AF86" s="492"/>
    </row>
    <row r="87" spans="1:32" s="505" customFormat="1" ht="13.5" thickBot="1" x14ac:dyDescent="0.25">
      <c r="A87" s="492" t="s">
        <v>1186</v>
      </c>
      <c r="B87" s="492"/>
      <c r="C87" s="492"/>
      <c r="D87" s="493" t="s">
        <v>973</v>
      </c>
      <c r="E87" s="493" t="s">
        <v>1187</v>
      </c>
      <c r="F87" s="494">
        <v>6890</v>
      </c>
      <c r="G87" s="495"/>
      <c r="H87" s="495"/>
      <c r="I87" s="495"/>
      <c r="J87" s="495"/>
      <c r="K87" s="495"/>
      <c r="L87" s="495"/>
      <c r="M87" s="495"/>
      <c r="N87" s="495"/>
      <c r="O87" s="495"/>
      <c r="P87" s="495"/>
      <c r="Q87" s="495"/>
      <c r="R87" s="495"/>
      <c r="S87" s="495">
        <f t="shared" si="14"/>
        <v>0</v>
      </c>
      <c r="T87" s="496">
        <f t="shared" ca="1" si="12"/>
        <v>-2835</v>
      </c>
      <c r="U87" s="491">
        <v>41547</v>
      </c>
      <c r="V87" s="498" t="s">
        <v>1188</v>
      </c>
      <c r="W87" s="499"/>
      <c r="X87" s="500"/>
      <c r="Y87" s="500"/>
      <c r="Z87" s="500"/>
      <c r="AA87" s="500"/>
      <c r="AB87" s="500"/>
      <c r="AC87" s="501"/>
      <c r="AD87" s="502">
        <v>41222</v>
      </c>
      <c r="AE87" s="503">
        <f t="shared" ca="1" si="15"/>
        <v>969</v>
      </c>
      <c r="AF87" s="492"/>
    </row>
    <row r="88" spans="1:32" ht="26.25" thickBot="1" x14ac:dyDescent="0.25">
      <c r="A88" s="299" t="s">
        <v>215</v>
      </c>
      <c r="B88" s="299"/>
      <c r="C88" s="299"/>
      <c r="D88" s="301" t="s">
        <v>216</v>
      </c>
      <c r="E88" s="301" t="s">
        <v>1189</v>
      </c>
      <c r="F88" s="302"/>
      <c r="G88" s="284"/>
      <c r="H88" s="284"/>
      <c r="I88" s="284"/>
      <c r="J88" s="284"/>
      <c r="K88" s="284"/>
      <c r="L88" s="284"/>
      <c r="M88" s="284"/>
      <c r="N88" s="284"/>
      <c r="O88" s="284"/>
      <c r="P88" s="284"/>
      <c r="Q88" s="284"/>
      <c r="R88" s="284"/>
      <c r="S88" s="284">
        <f t="shared" si="14"/>
        <v>0</v>
      </c>
      <c r="T88" s="274">
        <f t="shared" ca="1" si="12"/>
        <v>-1352</v>
      </c>
      <c r="U88" s="303">
        <v>43030</v>
      </c>
      <c r="V88" s="304" t="s">
        <v>1190</v>
      </c>
      <c r="W88" s="315"/>
      <c r="X88" s="305"/>
      <c r="Y88" s="305"/>
      <c r="Z88" s="305"/>
      <c r="AA88" s="305"/>
      <c r="AB88" s="305"/>
      <c r="AC88" s="306"/>
      <c r="AD88" s="307">
        <v>41204</v>
      </c>
      <c r="AE88" s="278">
        <f t="shared" ca="1" si="15"/>
        <v>987</v>
      </c>
      <c r="AF88" s="299"/>
    </row>
    <row r="89" spans="1:32" ht="26.25" thickBot="1" x14ac:dyDescent="0.25">
      <c r="A89" s="299" t="s">
        <v>215</v>
      </c>
      <c r="B89" s="299"/>
      <c r="C89" s="299"/>
      <c r="D89" s="301" t="s">
        <v>1191</v>
      </c>
      <c r="E89" s="301" t="s">
        <v>1192</v>
      </c>
      <c r="F89" s="302"/>
      <c r="G89" s="284">
        <v>5774.97</v>
      </c>
      <c r="H89" s="284">
        <v>9097.85</v>
      </c>
      <c r="I89" s="284">
        <v>8729.56</v>
      </c>
      <c r="J89" s="284">
        <v>16473.72</v>
      </c>
      <c r="K89" s="284">
        <v>9551.75</v>
      </c>
      <c r="L89" s="284">
        <v>9371.51</v>
      </c>
      <c r="M89" s="284">
        <v>12555.05</v>
      </c>
      <c r="N89" s="284">
        <v>13752.45</v>
      </c>
      <c r="O89" s="284">
        <v>13522.56</v>
      </c>
      <c r="P89" s="284">
        <v>13962.53</v>
      </c>
      <c r="Q89" s="284">
        <v>14522.49</v>
      </c>
      <c r="R89" s="284">
        <v>12835.07</v>
      </c>
      <c r="S89" s="284">
        <f t="shared" si="14"/>
        <v>140149.51</v>
      </c>
      <c r="T89" s="274">
        <f t="shared" ca="1" si="12"/>
        <v>-2880</v>
      </c>
      <c r="U89" s="303">
        <v>41502</v>
      </c>
      <c r="V89" s="304" t="s">
        <v>1193</v>
      </c>
      <c r="W89" s="315"/>
      <c r="X89" s="305"/>
      <c r="Y89" s="305"/>
      <c r="Z89" s="305"/>
      <c r="AA89" s="305"/>
      <c r="AB89" s="305"/>
      <c r="AC89" s="306"/>
      <c r="AD89" s="307">
        <v>41137</v>
      </c>
      <c r="AE89" s="278">
        <f t="shared" ca="1" si="15"/>
        <v>1054</v>
      </c>
      <c r="AF89" s="299"/>
    </row>
    <row r="90" spans="1:32" ht="26.25" thickBot="1" x14ac:dyDescent="0.25">
      <c r="A90" s="299" t="s">
        <v>1194</v>
      </c>
      <c r="B90" s="299"/>
      <c r="C90" s="299"/>
      <c r="D90" s="301" t="s">
        <v>1195</v>
      </c>
      <c r="E90" s="301" t="s">
        <v>1196</v>
      </c>
      <c r="F90" s="302">
        <v>15200</v>
      </c>
      <c r="G90" s="284"/>
      <c r="H90" s="284"/>
      <c r="I90" s="284"/>
      <c r="J90" s="284"/>
      <c r="K90" s="284"/>
      <c r="L90" s="284"/>
      <c r="M90" s="284"/>
      <c r="N90" s="284"/>
      <c r="O90" s="284"/>
      <c r="P90" s="284"/>
      <c r="Q90" s="284"/>
      <c r="R90" s="284"/>
      <c r="S90" s="284">
        <f t="shared" si="14"/>
        <v>0</v>
      </c>
      <c r="T90" s="274">
        <f t="shared" ca="1" si="12"/>
        <v>-3161</v>
      </c>
      <c r="U90" s="303">
        <v>41221</v>
      </c>
      <c r="V90" s="304" t="s">
        <v>1197</v>
      </c>
      <c r="W90" s="315"/>
      <c r="X90" s="305"/>
      <c r="Y90" s="305"/>
      <c r="Z90" s="305"/>
      <c r="AA90" s="305"/>
      <c r="AB90" s="305"/>
      <c r="AC90" s="306"/>
      <c r="AD90" s="307">
        <v>41221</v>
      </c>
      <c r="AE90" s="278">
        <f t="shared" ca="1" si="15"/>
        <v>970</v>
      </c>
      <c r="AF90" s="299"/>
    </row>
    <row r="91" spans="1:32" ht="13.5" thickBot="1" x14ac:dyDescent="0.25">
      <c r="A91" s="299" t="s">
        <v>1198</v>
      </c>
      <c r="B91" s="299"/>
      <c r="C91" s="299"/>
      <c r="D91" s="301" t="s">
        <v>83</v>
      </c>
      <c r="E91" s="301" t="s">
        <v>1199</v>
      </c>
      <c r="F91" s="302">
        <v>9360</v>
      </c>
      <c r="G91" s="284"/>
      <c r="H91" s="284"/>
      <c r="I91" s="284"/>
      <c r="J91" s="284"/>
      <c r="K91" s="284"/>
      <c r="L91" s="284"/>
      <c r="M91" s="284"/>
      <c r="N91" s="284"/>
      <c r="O91" s="284"/>
      <c r="P91" s="284"/>
      <c r="Q91" s="284"/>
      <c r="R91" s="284"/>
      <c r="S91" s="284">
        <f t="shared" si="14"/>
        <v>0</v>
      </c>
      <c r="T91" s="274">
        <f t="shared" ca="1" si="12"/>
        <v>-2742</v>
      </c>
      <c r="U91" s="303">
        <v>41640</v>
      </c>
      <c r="V91" s="304" t="s">
        <v>1200</v>
      </c>
      <c r="W91" s="315"/>
      <c r="X91" s="305"/>
      <c r="Y91" s="305"/>
      <c r="Z91" s="305"/>
      <c r="AA91" s="305"/>
      <c r="AB91" s="305"/>
      <c r="AC91" s="306"/>
      <c r="AD91" s="307">
        <v>41276</v>
      </c>
      <c r="AE91" s="278">
        <f t="shared" ca="1" si="15"/>
        <v>915</v>
      </c>
      <c r="AF91" s="299" t="s">
        <v>48</v>
      </c>
    </row>
    <row r="92" spans="1:32" ht="26.25" thickBot="1" x14ac:dyDescent="0.25">
      <c r="A92" s="299" t="s">
        <v>1201</v>
      </c>
      <c r="B92" s="299"/>
      <c r="C92" s="299" t="s">
        <v>617</v>
      </c>
      <c r="D92" s="301" t="s">
        <v>1202</v>
      </c>
      <c r="E92" s="301" t="s">
        <v>1203</v>
      </c>
      <c r="F92" s="302">
        <v>20000</v>
      </c>
      <c r="G92" s="284"/>
      <c r="H92" s="284"/>
      <c r="I92" s="284"/>
      <c r="J92" s="284"/>
      <c r="K92" s="284"/>
      <c r="L92" s="284"/>
      <c r="M92" s="284"/>
      <c r="N92" s="284"/>
      <c r="O92" s="284"/>
      <c r="P92" s="284"/>
      <c r="Q92" s="284"/>
      <c r="R92" s="284"/>
      <c r="S92" s="284">
        <f t="shared" si="14"/>
        <v>0</v>
      </c>
      <c r="T92" s="274">
        <f t="shared" ca="1" si="12"/>
        <v>-2716</v>
      </c>
      <c r="U92" s="303">
        <v>41666</v>
      </c>
      <c r="V92" s="304" t="s">
        <v>1204</v>
      </c>
      <c r="W92" s="315"/>
      <c r="X92" s="305"/>
      <c r="Y92" s="305"/>
      <c r="Z92" s="305"/>
      <c r="AA92" s="305"/>
      <c r="AB92" s="305"/>
      <c r="AC92" s="306"/>
      <c r="AD92" s="307">
        <v>41302</v>
      </c>
      <c r="AE92" s="278">
        <f t="shared" ca="1" si="15"/>
        <v>889</v>
      </c>
      <c r="AF92" s="299" t="s">
        <v>96</v>
      </c>
    </row>
    <row r="93" spans="1:32" ht="26.25" thickBot="1" x14ac:dyDescent="0.25">
      <c r="A93" s="299" t="s">
        <v>1205</v>
      </c>
      <c r="B93" s="299"/>
      <c r="C93" s="299" t="s">
        <v>452</v>
      </c>
      <c r="D93" s="301" t="s">
        <v>1206</v>
      </c>
      <c r="E93" s="301" t="s">
        <v>1207</v>
      </c>
      <c r="F93" s="302" t="s">
        <v>1234</v>
      </c>
      <c r="G93" s="284"/>
      <c r="H93" s="284"/>
      <c r="I93" s="284"/>
      <c r="J93" s="284"/>
      <c r="K93" s="284"/>
      <c r="L93" s="284"/>
      <c r="M93" s="284"/>
      <c r="N93" s="284"/>
      <c r="O93" s="284"/>
      <c r="P93" s="284"/>
      <c r="Q93" s="284"/>
      <c r="R93" s="284"/>
      <c r="S93" s="284">
        <f t="shared" si="14"/>
        <v>0</v>
      </c>
      <c r="T93" s="274">
        <f t="shared" ca="1" si="12"/>
        <v>-2957</v>
      </c>
      <c r="U93" s="303">
        <v>41425</v>
      </c>
      <c r="V93" s="304" t="s">
        <v>1235</v>
      </c>
      <c r="W93" s="315"/>
      <c r="X93" s="305"/>
      <c r="Y93" s="305"/>
      <c r="Z93" s="305"/>
      <c r="AA93" s="305"/>
      <c r="AB93" s="305"/>
      <c r="AC93" s="306"/>
      <c r="AD93" s="307">
        <v>41306</v>
      </c>
      <c r="AE93" s="278">
        <f t="shared" ca="1" si="15"/>
        <v>885</v>
      </c>
      <c r="AF93" s="299" t="s">
        <v>48</v>
      </c>
    </row>
    <row r="94" spans="1:32" ht="26.25" thickBot="1" x14ac:dyDescent="0.25">
      <c r="A94" s="299" t="s">
        <v>1215</v>
      </c>
      <c r="B94" s="299"/>
      <c r="C94" s="299"/>
      <c r="D94" s="301" t="s">
        <v>935</v>
      </c>
      <c r="E94" s="301" t="s">
        <v>1216</v>
      </c>
      <c r="F94" s="302" t="s">
        <v>1217</v>
      </c>
      <c r="G94" s="284"/>
      <c r="H94" s="284"/>
      <c r="I94" s="284"/>
      <c r="J94" s="284"/>
      <c r="K94" s="284"/>
      <c r="L94" s="284"/>
      <c r="M94" s="284"/>
      <c r="N94" s="284"/>
      <c r="O94" s="284"/>
      <c r="P94" s="284"/>
      <c r="Q94" s="284"/>
      <c r="R94" s="284"/>
      <c r="S94" s="284">
        <f t="shared" si="14"/>
        <v>0</v>
      </c>
      <c r="T94" s="274">
        <f t="shared" ca="1" si="12"/>
        <v>-2999</v>
      </c>
      <c r="U94" s="303">
        <v>41383</v>
      </c>
      <c r="V94" s="304" t="s">
        <v>1221</v>
      </c>
      <c r="W94" s="315"/>
      <c r="X94" s="305"/>
      <c r="Y94" s="305"/>
      <c r="Z94" s="305"/>
      <c r="AA94" s="305"/>
      <c r="AB94" s="305"/>
      <c r="AC94" s="306"/>
      <c r="AD94" s="307"/>
      <c r="AE94" s="278">
        <f t="shared" ca="1" si="15"/>
        <v>42190</v>
      </c>
      <c r="AF94" s="299"/>
    </row>
    <row r="95" spans="1:32" ht="13.5" thickBot="1" x14ac:dyDescent="0.25">
      <c r="A95" s="299" t="s">
        <v>1218</v>
      </c>
      <c r="B95" s="299"/>
      <c r="C95" s="299"/>
      <c r="D95" s="301" t="s">
        <v>1219</v>
      </c>
      <c r="E95" s="301" t="s">
        <v>1220</v>
      </c>
      <c r="F95" s="302">
        <v>6680</v>
      </c>
      <c r="G95" s="284"/>
      <c r="H95" s="284"/>
      <c r="I95" s="284"/>
      <c r="J95" s="284"/>
      <c r="K95" s="284"/>
      <c r="L95" s="284"/>
      <c r="M95" s="284"/>
      <c r="N95" s="284"/>
      <c r="O95" s="284"/>
      <c r="P95" s="284"/>
      <c r="Q95" s="284"/>
      <c r="R95" s="284"/>
      <c r="S95" s="284">
        <f t="shared" si="14"/>
        <v>0</v>
      </c>
      <c r="T95" s="274" t="e">
        <f t="shared" ca="1" si="12"/>
        <v>#VALUE!</v>
      </c>
      <c r="U95" s="303" t="s">
        <v>314</v>
      </c>
      <c r="V95" s="304" t="s">
        <v>1222</v>
      </c>
      <c r="W95" s="315"/>
      <c r="X95" s="305"/>
      <c r="Y95" s="305"/>
      <c r="Z95" s="305"/>
      <c r="AA95" s="305"/>
      <c r="AB95" s="305"/>
      <c r="AC95" s="306"/>
      <c r="AD95" s="307"/>
      <c r="AE95" s="278">
        <f t="shared" ca="1" si="15"/>
        <v>42190</v>
      </c>
      <c r="AF95" s="299"/>
    </row>
    <row r="96" spans="1:32" ht="26.25" thickBot="1" x14ac:dyDescent="0.25">
      <c r="A96" s="299" t="s">
        <v>1223</v>
      </c>
      <c r="B96" s="299"/>
      <c r="C96" s="299"/>
      <c r="D96" s="301" t="s">
        <v>1224</v>
      </c>
      <c r="E96" s="301" t="s">
        <v>1225</v>
      </c>
      <c r="F96" s="302">
        <v>6922.5</v>
      </c>
      <c r="G96" s="284"/>
      <c r="H96" s="284"/>
      <c r="I96" s="284"/>
      <c r="J96" s="284"/>
      <c r="K96" s="284"/>
      <c r="L96" s="284"/>
      <c r="M96" s="284"/>
      <c r="N96" s="284"/>
      <c r="O96" s="284"/>
      <c r="P96" s="284"/>
      <c r="Q96" s="284"/>
      <c r="R96" s="284"/>
      <c r="S96" s="284">
        <f t="shared" si="14"/>
        <v>0</v>
      </c>
      <c r="T96" s="274">
        <f t="shared" ca="1" si="12"/>
        <v>-3039</v>
      </c>
      <c r="U96" s="303">
        <v>41343</v>
      </c>
      <c r="V96" s="304" t="s">
        <v>1226</v>
      </c>
      <c r="W96" s="315"/>
      <c r="X96" s="305"/>
      <c r="Y96" s="305"/>
      <c r="Z96" s="305"/>
      <c r="AA96" s="305"/>
      <c r="AB96" s="305"/>
      <c r="AC96" s="306"/>
      <c r="AD96" s="307"/>
      <c r="AE96" s="278">
        <f t="shared" ca="1" si="15"/>
        <v>42190</v>
      </c>
      <c r="AF96" s="299"/>
    </row>
    <row r="97" spans="1:32" ht="13.5" thickBot="1" x14ac:dyDescent="0.25">
      <c r="A97" s="299" t="s">
        <v>1227</v>
      </c>
      <c r="B97" s="299"/>
      <c r="C97" s="299"/>
      <c r="D97" s="301" t="s">
        <v>1228</v>
      </c>
      <c r="E97" s="301" t="s">
        <v>1229</v>
      </c>
      <c r="F97" s="302">
        <v>4788</v>
      </c>
      <c r="G97" s="284"/>
      <c r="H97" s="284"/>
      <c r="I97" s="284"/>
      <c r="J97" s="284"/>
      <c r="K97" s="284"/>
      <c r="L97" s="284"/>
      <c r="M97" s="284"/>
      <c r="N97" s="284"/>
      <c r="O97" s="284"/>
      <c r="P97" s="284"/>
      <c r="Q97" s="284"/>
      <c r="R97" s="284"/>
      <c r="S97" s="284">
        <f t="shared" si="14"/>
        <v>0</v>
      </c>
      <c r="T97" s="274">
        <f t="shared" ca="1" si="12"/>
        <v>-2690</v>
      </c>
      <c r="U97" s="303">
        <v>41692</v>
      </c>
      <c r="V97" s="304" t="s">
        <v>1230</v>
      </c>
      <c r="W97" s="315"/>
      <c r="X97" s="305"/>
      <c r="Y97" s="305"/>
      <c r="Z97" s="305"/>
      <c r="AA97" s="305"/>
      <c r="AB97" s="305"/>
      <c r="AC97" s="306"/>
      <c r="AD97" s="307"/>
      <c r="AE97" s="278">
        <f t="shared" ca="1" si="15"/>
        <v>42190</v>
      </c>
      <c r="AF97" s="299"/>
    </row>
    <row r="98" spans="1:32" ht="13.5" thickBot="1" x14ac:dyDescent="0.25">
      <c r="A98" s="299" t="s">
        <v>1241</v>
      </c>
      <c r="B98" s="299"/>
      <c r="C98" s="299"/>
      <c r="D98" s="301" t="s">
        <v>1242</v>
      </c>
      <c r="E98" s="301" t="s">
        <v>1243</v>
      </c>
      <c r="F98" s="302">
        <v>70000</v>
      </c>
      <c r="G98" s="284"/>
      <c r="H98" s="284"/>
      <c r="I98" s="284"/>
      <c r="J98" s="284"/>
      <c r="K98" s="284"/>
      <c r="L98" s="284"/>
      <c r="M98" s="284"/>
      <c r="N98" s="284"/>
      <c r="O98" s="284"/>
      <c r="P98" s="284"/>
      <c r="Q98" s="284"/>
      <c r="R98" s="284"/>
      <c r="S98" s="284">
        <f t="shared" si="14"/>
        <v>0</v>
      </c>
      <c r="T98" s="274">
        <f t="shared" ca="1" si="12"/>
        <v>-2959</v>
      </c>
      <c r="U98" s="303">
        <v>41423</v>
      </c>
      <c r="V98" s="304" t="s">
        <v>1244</v>
      </c>
      <c r="W98" s="315"/>
      <c r="X98" s="305"/>
      <c r="Y98" s="305"/>
      <c r="Z98" s="305"/>
      <c r="AA98" s="305"/>
      <c r="AB98" s="305"/>
      <c r="AC98" s="306"/>
      <c r="AD98" s="307">
        <v>41379</v>
      </c>
      <c r="AE98" s="278">
        <f t="shared" ca="1" si="15"/>
        <v>812</v>
      </c>
      <c r="AF98" s="299"/>
    </row>
    <row r="99" spans="1:32" ht="26.25" thickBot="1" x14ac:dyDescent="0.25">
      <c r="A99" s="299" t="s">
        <v>1245</v>
      </c>
      <c r="B99" s="299"/>
      <c r="C99" s="299"/>
      <c r="D99" s="301" t="s">
        <v>194</v>
      </c>
      <c r="E99" s="301" t="s">
        <v>1246</v>
      </c>
      <c r="F99" s="302">
        <v>15600</v>
      </c>
      <c r="G99" s="284"/>
      <c r="H99" s="284"/>
      <c r="I99" s="284"/>
      <c r="J99" s="284"/>
      <c r="K99" s="284"/>
      <c r="L99" s="284"/>
      <c r="M99" s="284"/>
      <c r="N99" s="284"/>
      <c r="O99" s="284"/>
      <c r="P99" s="284"/>
      <c r="Q99" s="284"/>
      <c r="R99" s="284"/>
      <c r="S99" s="284">
        <f t="shared" si="14"/>
        <v>0</v>
      </c>
      <c r="T99" s="274">
        <f t="shared" ca="1" si="12"/>
        <v>-2641</v>
      </c>
      <c r="U99" s="303">
        <v>41741</v>
      </c>
      <c r="V99" s="304" t="s">
        <v>1247</v>
      </c>
      <c r="W99" s="315"/>
      <c r="X99" s="305"/>
      <c r="Y99" s="305"/>
      <c r="Z99" s="305"/>
      <c r="AA99" s="305"/>
      <c r="AB99" s="305"/>
      <c r="AC99" s="306"/>
      <c r="AD99" s="307">
        <v>41376</v>
      </c>
      <c r="AE99" s="278">
        <f t="shared" ca="1" si="15"/>
        <v>815</v>
      </c>
      <c r="AF99" s="299"/>
    </row>
    <row r="100" spans="1:32" ht="26.25" thickBot="1" x14ac:dyDescent="0.25">
      <c r="A100" s="299" t="s">
        <v>1248</v>
      </c>
      <c r="B100" s="299"/>
      <c r="C100" s="299"/>
      <c r="D100" s="301" t="s">
        <v>340</v>
      </c>
      <c r="E100" s="301" t="s">
        <v>1249</v>
      </c>
      <c r="F100" s="302">
        <v>19268.64</v>
      </c>
      <c r="G100" s="284"/>
      <c r="H100" s="284"/>
      <c r="I100" s="284"/>
      <c r="J100" s="284"/>
      <c r="K100" s="284"/>
      <c r="L100" s="284"/>
      <c r="M100" s="284"/>
      <c r="N100" s="284"/>
      <c r="O100" s="284"/>
      <c r="P100" s="284"/>
      <c r="Q100" s="284"/>
      <c r="R100" s="284"/>
      <c r="S100" s="284">
        <f t="shared" si="14"/>
        <v>0</v>
      </c>
      <c r="T100" s="274">
        <f t="shared" ca="1" si="12"/>
        <v>-2677</v>
      </c>
      <c r="U100" s="303">
        <v>41705</v>
      </c>
      <c r="V100" s="304" t="s">
        <v>1250</v>
      </c>
      <c r="W100" s="315"/>
      <c r="X100" s="305"/>
      <c r="Y100" s="305"/>
      <c r="Z100" s="305"/>
      <c r="AA100" s="305"/>
      <c r="AB100" s="305"/>
      <c r="AC100" s="306"/>
      <c r="AD100" s="307">
        <v>41341</v>
      </c>
      <c r="AE100" s="278">
        <f t="shared" ca="1" si="15"/>
        <v>850</v>
      </c>
      <c r="AF100" s="299"/>
    </row>
    <row r="101" spans="1:32" ht="26.25" thickBot="1" x14ac:dyDescent="0.25">
      <c r="A101" s="392">
        <v>201312000787</v>
      </c>
      <c r="B101" s="299"/>
      <c r="C101" s="299"/>
      <c r="D101" s="301" t="s">
        <v>1259</v>
      </c>
      <c r="E101" s="301" t="s">
        <v>1260</v>
      </c>
      <c r="F101" s="302">
        <v>42221.25</v>
      </c>
      <c r="G101" s="284"/>
      <c r="H101" s="284"/>
      <c r="I101" s="284"/>
      <c r="J101" s="284"/>
      <c r="K101" s="284"/>
      <c r="L101" s="284"/>
      <c r="M101" s="284"/>
      <c r="N101" s="284"/>
      <c r="O101" s="284"/>
      <c r="P101" s="284"/>
      <c r="Q101" s="284"/>
      <c r="R101" s="284"/>
      <c r="S101" s="284">
        <f t="shared" si="14"/>
        <v>0</v>
      </c>
      <c r="T101" s="274">
        <f t="shared" ca="1" si="12"/>
        <v>-2864</v>
      </c>
      <c r="U101" s="303">
        <v>41518</v>
      </c>
      <c r="V101" s="304" t="s">
        <v>1263</v>
      </c>
      <c r="W101" s="315"/>
      <c r="X101" s="305"/>
      <c r="Y101" s="305"/>
      <c r="Z101" s="305"/>
      <c r="AA101" s="305"/>
      <c r="AB101" s="305"/>
      <c r="AC101" s="306"/>
      <c r="AD101" s="307">
        <v>41487</v>
      </c>
      <c r="AE101" s="278">
        <f t="shared" ca="1" si="15"/>
        <v>704</v>
      </c>
      <c r="AF101" s="299"/>
    </row>
    <row r="102" spans="1:32" ht="26.25" thickBot="1" x14ac:dyDescent="0.25">
      <c r="A102" s="392">
        <v>201312003090</v>
      </c>
      <c r="B102" s="299"/>
      <c r="C102" s="299"/>
      <c r="D102" s="301" t="s">
        <v>1264</v>
      </c>
      <c r="E102" s="301" t="s">
        <v>1265</v>
      </c>
      <c r="F102" s="302">
        <v>7800</v>
      </c>
      <c r="G102" s="284"/>
      <c r="H102" s="284"/>
      <c r="I102" s="284"/>
      <c r="J102" s="284"/>
      <c r="K102" s="284"/>
      <c r="L102" s="284"/>
      <c r="M102" s="284"/>
      <c r="N102" s="284"/>
      <c r="O102" s="284"/>
      <c r="P102" s="284"/>
      <c r="Q102" s="284"/>
      <c r="R102" s="284"/>
      <c r="S102" s="284">
        <f t="shared" si="14"/>
        <v>0</v>
      </c>
      <c r="T102" s="274">
        <f t="shared" ca="1" si="12"/>
        <v>-2558</v>
      </c>
      <c r="U102" s="303">
        <v>41824</v>
      </c>
      <c r="V102" s="304" t="s">
        <v>1261</v>
      </c>
      <c r="W102" s="315"/>
      <c r="X102" s="305"/>
      <c r="Y102" s="305"/>
      <c r="Z102" s="305"/>
      <c r="AA102" s="305"/>
      <c r="AB102" s="305"/>
      <c r="AC102" s="306"/>
      <c r="AD102" s="307">
        <v>41460</v>
      </c>
      <c r="AE102" s="278">
        <f t="shared" ca="1" si="15"/>
        <v>731</v>
      </c>
      <c r="AF102" s="299"/>
    </row>
    <row r="103" spans="1:32" ht="13.5" thickBot="1" x14ac:dyDescent="0.25">
      <c r="A103" s="299" t="s">
        <v>1266</v>
      </c>
      <c r="B103" s="299"/>
      <c r="C103" s="299"/>
      <c r="D103" s="301" t="s">
        <v>1267</v>
      </c>
      <c r="E103" s="301" t="s">
        <v>1268</v>
      </c>
      <c r="F103" s="302">
        <v>105000</v>
      </c>
      <c r="G103" s="284"/>
      <c r="H103" s="284"/>
      <c r="I103" s="284"/>
      <c r="J103" s="284"/>
      <c r="K103" s="284"/>
      <c r="L103" s="284"/>
      <c r="M103" s="284"/>
      <c r="N103" s="284"/>
      <c r="O103" s="284"/>
      <c r="P103" s="284"/>
      <c r="Q103" s="284"/>
      <c r="R103" s="284"/>
      <c r="S103" s="284">
        <f t="shared" si="14"/>
        <v>0</v>
      </c>
      <c r="T103" s="274">
        <f t="shared" ca="1" si="12"/>
        <v>-1982</v>
      </c>
      <c r="U103" s="303">
        <v>42400</v>
      </c>
      <c r="V103" s="304" t="s">
        <v>1262</v>
      </c>
      <c r="W103" s="315"/>
      <c r="X103" s="305"/>
      <c r="Y103" s="305"/>
      <c r="Z103" s="305"/>
      <c r="AA103" s="305"/>
      <c r="AB103" s="305"/>
      <c r="AC103" s="306"/>
      <c r="AD103" s="307">
        <v>41486</v>
      </c>
      <c r="AE103" s="278">
        <f t="shared" ca="1" si="15"/>
        <v>705</v>
      </c>
      <c r="AF103" s="299"/>
    </row>
    <row r="104" spans="1:32" ht="26.25" thickBot="1" x14ac:dyDescent="0.25">
      <c r="A104" s="392">
        <v>201312004274</v>
      </c>
      <c r="B104" s="299"/>
      <c r="C104" s="299"/>
      <c r="D104" s="301" t="s">
        <v>1269</v>
      </c>
      <c r="E104" s="301" t="s">
        <v>1270</v>
      </c>
      <c r="F104" s="302">
        <v>12800</v>
      </c>
      <c r="G104" s="284"/>
      <c r="H104" s="284"/>
      <c r="I104" s="284"/>
      <c r="J104" s="284"/>
      <c r="K104" s="284"/>
      <c r="L104" s="284"/>
      <c r="M104" s="284"/>
      <c r="N104" s="284"/>
      <c r="O104" s="284"/>
      <c r="P104" s="284"/>
      <c r="Q104" s="284"/>
      <c r="R104" s="284"/>
      <c r="S104" s="284">
        <f t="shared" si="14"/>
        <v>0</v>
      </c>
      <c r="T104" s="274">
        <f t="shared" ca="1" si="12"/>
        <v>-2865</v>
      </c>
      <c r="U104" s="303">
        <v>41517</v>
      </c>
      <c r="V104" s="304" t="s">
        <v>1263</v>
      </c>
      <c r="W104" s="315"/>
      <c r="X104" s="305"/>
      <c r="Y104" s="305"/>
      <c r="Z104" s="305"/>
      <c r="AA104" s="305"/>
      <c r="AB104" s="305"/>
      <c r="AC104" s="306"/>
      <c r="AD104" s="307">
        <v>41487</v>
      </c>
      <c r="AE104" s="278">
        <f t="shared" ca="1" si="15"/>
        <v>704</v>
      </c>
      <c r="AF104" s="299"/>
    </row>
    <row r="105" spans="1:32" ht="39" thickBot="1" x14ac:dyDescent="0.25">
      <c r="A105" s="299" t="s">
        <v>1271</v>
      </c>
      <c r="B105" s="299"/>
      <c r="C105" s="299"/>
      <c r="D105" s="301" t="s">
        <v>1272</v>
      </c>
      <c r="E105" s="301" t="s">
        <v>1273</v>
      </c>
      <c r="F105" s="302">
        <v>110880</v>
      </c>
      <c r="G105" s="284"/>
      <c r="H105" s="284"/>
      <c r="I105" s="284"/>
      <c r="J105" s="284"/>
      <c r="K105" s="284"/>
      <c r="L105" s="284"/>
      <c r="M105" s="284"/>
      <c r="N105" s="284"/>
      <c r="O105" s="284"/>
      <c r="P105" s="284"/>
      <c r="Q105" s="284"/>
      <c r="R105" s="284"/>
      <c r="S105" s="284">
        <f t="shared" ref="S105:S114" si="16">SUM(G105:R105)</f>
        <v>0</v>
      </c>
      <c r="T105" s="274">
        <f t="shared" ca="1" si="12"/>
        <v>-2531</v>
      </c>
      <c r="U105" s="303">
        <v>41851</v>
      </c>
      <c r="V105" s="304" t="s">
        <v>1263</v>
      </c>
      <c r="W105" s="315"/>
      <c r="X105" s="305"/>
      <c r="Y105" s="305"/>
      <c r="Z105" s="305"/>
      <c r="AA105" s="305"/>
      <c r="AB105" s="305"/>
      <c r="AC105" s="306"/>
      <c r="AD105" s="307">
        <v>41487</v>
      </c>
      <c r="AE105" s="278">
        <f t="shared" ca="1" si="15"/>
        <v>704</v>
      </c>
      <c r="AF105" s="299"/>
    </row>
    <row r="106" spans="1:32" ht="26.25" thickBot="1" x14ac:dyDescent="0.25">
      <c r="A106" s="392">
        <v>201312004255</v>
      </c>
      <c r="B106" s="299"/>
      <c r="C106" s="299"/>
      <c r="D106" s="301" t="s">
        <v>1278</v>
      </c>
      <c r="E106" s="301" t="s">
        <v>1279</v>
      </c>
      <c r="F106" s="302">
        <v>15640</v>
      </c>
      <c r="G106" s="284"/>
      <c r="H106" s="284"/>
      <c r="I106" s="284"/>
      <c r="J106" s="284"/>
      <c r="K106" s="284"/>
      <c r="L106" s="284"/>
      <c r="M106" s="284"/>
      <c r="N106" s="284"/>
      <c r="O106" s="284"/>
      <c r="P106" s="284"/>
      <c r="Q106" s="284"/>
      <c r="R106" s="284"/>
      <c r="S106" s="284">
        <f t="shared" si="16"/>
        <v>0</v>
      </c>
      <c r="T106" s="274">
        <f t="shared" ca="1" si="12"/>
        <v>-2861</v>
      </c>
      <c r="U106" s="303">
        <v>41521</v>
      </c>
      <c r="V106" s="304" t="s">
        <v>1274</v>
      </c>
      <c r="W106" s="315"/>
      <c r="X106" s="305"/>
      <c r="Y106" s="305"/>
      <c r="Z106" s="305"/>
      <c r="AA106" s="305"/>
      <c r="AB106" s="305"/>
      <c r="AC106" s="306"/>
      <c r="AD106" s="307">
        <v>41491</v>
      </c>
      <c r="AE106" s="278">
        <f t="shared" ca="1" si="15"/>
        <v>700</v>
      </c>
      <c r="AF106" s="299"/>
    </row>
    <row r="107" spans="1:32" ht="26.25" thickBot="1" x14ac:dyDescent="0.25">
      <c r="A107" s="392">
        <v>201312004275</v>
      </c>
      <c r="B107" s="299"/>
      <c r="C107" s="299"/>
      <c r="D107" s="301" t="s">
        <v>1280</v>
      </c>
      <c r="E107" s="301" t="s">
        <v>1281</v>
      </c>
      <c r="F107" s="302">
        <v>6000</v>
      </c>
      <c r="G107" s="284"/>
      <c r="H107" s="284"/>
      <c r="I107" s="284"/>
      <c r="J107" s="284"/>
      <c r="K107" s="284"/>
      <c r="L107" s="284"/>
      <c r="M107" s="284"/>
      <c r="N107" s="284"/>
      <c r="O107" s="284"/>
      <c r="P107" s="284"/>
      <c r="Q107" s="284"/>
      <c r="R107" s="284"/>
      <c r="S107" s="284">
        <f t="shared" si="16"/>
        <v>0</v>
      </c>
      <c r="T107" s="274">
        <f t="shared" ca="1" si="12"/>
        <v>-2698</v>
      </c>
      <c r="U107" s="303">
        <v>41684</v>
      </c>
      <c r="V107" s="304" t="s">
        <v>1275</v>
      </c>
      <c r="W107" s="315"/>
      <c r="X107" s="305"/>
      <c r="Y107" s="305"/>
      <c r="Z107" s="305"/>
      <c r="AA107" s="305"/>
      <c r="AB107" s="305"/>
      <c r="AC107" s="306"/>
      <c r="AD107" s="307">
        <v>41501</v>
      </c>
      <c r="AE107" s="278">
        <f t="shared" ca="1" si="15"/>
        <v>690</v>
      </c>
      <c r="AF107" s="299"/>
    </row>
    <row r="108" spans="1:32" ht="26.25" thickBot="1" x14ac:dyDescent="0.25">
      <c r="A108" s="299" t="s">
        <v>1277</v>
      </c>
      <c r="B108" s="299"/>
      <c r="C108" s="299"/>
      <c r="D108" s="301" t="s">
        <v>1282</v>
      </c>
      <c r="E108" s="301" t="s">
        <v>1283</v>
      </c>
      <c r="F108" s="302">
        <v>41041.660000000003</v>
      </c>
      <c r="G108" s="284"/>
      <c r="H108" s="284"/>
      <c r="I108" s="284"/>
      <c r="J108" s="284"/>
      <c r="K108" s="284"/>
      <c r="L108" s="284"/>
      <c r="M108" s="284"/>
      <c r="N108" s="284"/>
      <c r="O108" s="284"/>
      <c r="P108" s="284"/>
      <c r="Q108" s="284"/>
      <c r="R108" s="284"/>
      <c r="S108" s="284">
        <f t="shared" si="16"/>
        <v>0</v>
      </c>
      <c r="T108" s="274">
        <f t="shared" ca="1" si="12"/>
        <v>-1407</v>
      </c>
      <c r="U108" s="303">
        <v>42975</v>
      </c>
      <c r="V108" s="304" t="s">
        <v>1276</v>
      </c>
      <c r="W108" s="315"/>
      <c r="X108" s="305"/>
      <c r="Y108" s="305"/>
      <c r="Z108" s="305"/>
      <c r="AA108" s="305"/>
      <c r="AB108" s="305"/>
      <c r="AC108" s="306"/>
      <c r="AD108" s="307">
        <v>41515</v>
      </c>
      <c r="AE108" s="278">
        <f t="shared" ca="1" si="15"/>
        <v>676</v>
      </c>
      <c r="AF108" s="299"/>
    </row>
    <row r="109" spans="1:32" ht="13.5" thickBot="1" x14ac:dyDescent="0.25">
      <c r="A109" s="392">
        <v>201312003008</v>
      </c>
      <c r="B109" s="299"/>
      <c r="C109" s="299"/>
      <c r="D109" s="301" t="s">
        <v>1285</v>
      </c>
      <c r="E109" s="301" t="s">
        <v>1286</v>
      </c>
      <c r="F109" s="302">
        <v>3100</v>
      </c>
      <c r="G109" s="284"/>
      <c r="H109" s="284"/>
      <c r="I109" s="284"/>
      <c r="J109" s="284"/>
      <c r="K109" s="284"/>
      <c r="L109" s="284"/>
      <c r="M109" s="284"/>
      <c r="N109" s="284"/>
      <c r="O109" s="284"/>
      <c r="P109" s="284"/>
      <c r="Q109" s="284"/>
      <c r="R109" s="284"/>
      <c r="S109" s="284">
        <f t="shared" si="16"/>
        <v>0</v>
      </c>
      <c r="T109" s="274">
        <f t="shared" ca="1" si="12"/>
        <v>-2500</v>
      </c>
      <c r="U109" s="303">
        <v>41882</v>
      </c>
      <c r="V109" s="304" t="s">
        <v>1287</v>
      </c>
      <c r="W109" s="315"/>
      <c r="X109" s="305"/>
      <c r="Y109" s="305"/>
      <c r="Z109" s="305"/>
      <c r="AA109" s="305"/>
      <c r="AB109" s="305"/>
      <c r="AC109" s="306"/>
      <c r="AD109" s="307">
        <v>41512</v>
      </c>
      <c r="AE109" s="278">
        <f t="shared" ca="1" si="15"/>
        <v>679</v>
      </c>
      <c r="AF109" s="299"/>
    </row>
    <row r="110" spans="1:32" ht="26.25" thickBot="1" x14ac:dyDescent="0.25">
      <c r="A110" s="299" t="s">
        <v>1427</v>
      </c>
      <c r="B110" s="299" t="s">
        <v>1428</v>
      </c>
      <c r="C110" s="299"/>
      <c r="D110" s="301" t="s">
        <v>1269</v>
      </c>
      <c r="E110" s="301" t="s">
        <v>1429</v>
      </c>
      <c r="F110" s="302">
        <v>12800</v>
      </c>
      <c r="G110" s="284"/>
      <c r="H110" s="284"/>
      <c r="I110" s="284"/>
      <c r="J110" s="284"/>
      <c r="K110" s="284"/>
      <c r="L110" s="284"/>
      <c r="M110" s="284"/>
      <c r="N110" s="284"/>
      <c r="O110" s="284"/>
      <c r="P110" s="284"/>
      <c r="Q110" s="284"/>
      <c r="R110" s="284"/>
      <c r="S110" s="284">
        <f t="shared" si="16"/>
        <v>0</v>
      </c>
      <c r="T110" s="274">
        <f ca="1">U110-$AE$2</f>
        <v>-2865</v>
      </c>
      <c r="U110" s="303">
        <v>41517</v>
      </c>
      <c r="V110" s="304" t="s">
        <v>1263</v>
      </c>
      <c r="W110" s="315"/>
      <c r="X110" s="305"/>
      <c r="Y110" s="305"/>
      <c r="Z110" s="305"/>
      <c r="AA110" s="305"/>
      <c r="AB110" s="305"/>
      <c r="AC110" s="306"/>
      <c r="AD110" s="307">
        <v>41487</v>
      </c>
      <c r="AE110" s="278">
        <f ca="1">TODAY()-DATE(YEAR(AD110)+6,MONTH(AD110),DAY(AD110))</f>
        <v>704</v>
      </c>
      <c r="AF110" s="299"/>
    </row>
    <row r="111" spans="1:32" ht="13.5" thickBot="1" x14ac:dyDescent="0.25">
      <c r="A111" s="299"/>
      <c r="B111" s="299"/>
      <c r="C111" s="299"/>
      <c r="D111" s="301"/>
      <c r="E111" s="301"/>
      <c r="F111" s="302"/>
      <c r="G111" s="284"/>
      <c r="H111" s="284"/>
      <c r="I111" s="284"/>
      <c r="J111" s="284"/>
      <c r="K111" s="284"/>
      <c r="L111" s="284"/>
      <c r="M111" s="284"/>
      <c r="N111" s="284"/>
      <c r="O111" s="284"/>
      <c r="P111" s="284"/>
      <c r="Q111" s="284"/>
      <c r="R111" s="284"/>
      <c r="S111" s="284">
        <f t="shared" si="16"/>
        <v>0</v>
      </c>
      <c r="T111" s="274">
        <f t="shared" ca="1" si="12"/>
        <v>-44382</v>
      </c>
      <c r="U111" s="303"/>
      <c r="V111" s="304"/>
      <c r="W111" s="315"/>
      <c r="X111" s="305"/>
      <c r="Y111" s="305"/>
      <c r="Z111" s="305"/>
      <c r="AA111" s="305"/>
      <c r="AB111" s="305"/>
      <c r="AC111" s="306"/>
      <c r="AD111" s="307"/>
      <c r="AE111" s="278">
        <f t="shared" ca="1" si="15"/>
        <v>42190</v>
      </c>
      <c r="AF111" s="299"/>
    </row>
    <row r="112" spans="1:32" ht="13.5" thickBot="1" x14ac:dyDescent="0.25">
      <c r="A112" s="299"/>
      <c r="B112" s="299"/>
      <c r="C112" s="299"/>
      <c r="D112" s="301"/>
      <c r="E112" s="301"/>
      <c r="F112" s="302"/>
      <c r="G112" s="284"/>
      <c r="H112" s="284"/>
      <c r="I112" s="284"/>
      <c r="J112" s="284"/>
      <c r="K112" s="284"/>
      <c r="L112" s="284"/>
      <c r="M112" s="284"/>
      <c r="N112" s="284"/>
      <c r="O112" s="284"/>
      <c r="P112" s="284"/>
      <c r="Q112" s="284"/>
      <c r="R112" s="284"/>
      <c r="S112" s="284">
        <f t="shared" si="16"/>
        <v>0</v>
      </c>
      <c r="T112" s="274">
        <f t="shared" ca="1" si="12"/>
        <v>-44382</v>
      </c>
      <c r="U112" s="303"/>
      <c r="V112" s="304"/>
      <c r="W112" s="315"/>
      <c r="X112" s="305"/>
      <c r="Y112" s="305"/>
      <c r="Z112" s="305"/>
      <c r="AA112" s="305"/>
      <c r="AB112" s="305"/>
      <c r="AC112" s="306"/>
      <c r="AD112" s="307"/>
      <c r="AE112" s="278">
        <f t="shared" ca="1" si="15"/>
        <v>42190</v>
      </c>
      <c r="AF112" s="299"/>
    </row>
    <row r="113" spans="1:32" ht="13.5" thickBot="1" x14ac:dyDescent="0.25">
      <c r="A113" s="299"/>
      <c r="B113" s="299"/>
      <c r="C113" s="299"/>
      <c r="D113" s="301"/>
      <c r="E113" s="301"/>
      <c r="F113" s="302"/>
      <c r="G113" s="284"/>
      <c r="H113" s="284"/>
      <c r="I113" s="284"/>
      <c r="J113" s="284"/>
      <c r="K113" s="284"/>
      <c r="L113" s="284"/>
      <c r="M113" s="284"/>
      <c r="N113" s="284"/>
      <c r="O113" s="284"/>
      <c r="P113" s="284"/>
      <c r="Q113" s="284"/>
      <c r="R113" s="284"/>
      <c r="S113" s="284">
        <f t="shared" si="16"/>
        <v>0</v>
      </c>
      <c r="T113" s="274">
        <f t="shared" ca="1" si="12"/>
        <v>-44382</v>
      </c>
      <c r="U113" s="303"/>
      <c r="V113" s="304"/>
      <c r="W113" s="315"/>
      <c r="X113" s="305"/>
      <c r="Y113" s="305"/>
      <c r="Z113" s="305"/>
      <c r="AA113" s="305"/>
      <c r="AB113" s="305"/>
      <c r="AC113" s="306"/>
      <c r="AD113" s="307"/>
      <c r="AE113" s="278">
        <f t="shared" ca="1" si="15"/>
        <v>42190</v>
      </c>
      <c r="AF113" s="299"/>
    </row>
    <row r="114" spans="1:32" x14ac:dyDescent="0.2">
      <c r="A114" s="299"/>
      <c r="B114" s="299"/>
      <c r="C114" s="299"/>
      <c r="D114" s="301"/>
      <c r="E114" s="301"/>
      <c r="F114" s="302"/>
      <c r="G114" s="284"/>
      <c r="H114" s="284"/>
      <c r="I114" s="284"/>
      <c r="J114" s="284"/>
      <c r="K114" s="284"/>
      <c r="L114" s="284"/>
      <c r="M114" s="284"/>
      <c r="N114" s="284"/>
      <c r="O114" s="284"/>
      <c r="P114" s="284"/>
      <c r="Q114" s="284"/>
      <c r="R114" s="284"/>
      <c r="S114" s="284">
        <f t="shared" si="16"/>
        <v>0</v>
      </c>
      <c r="T114" s="274">
        <f t="shared" ca="1" si="12"/>
        <v>-44382</v>
      </c>
      <c r="U114" s="303"/>
      <c r="V114" s="304"/>
      <c r="W114" s="315"/>
      <c r="X114" s="305"/>
      <c r="Y114" s="305"/>
      <c r="Z114" s="305"/>
      <c r="AA114" s="305"/>
      <c r="AB114" s="305"/>
      <c r="AC114" s="306"/>
      <c r="AD114" s="307"/>
      <c r="AE114" s="278">
        <f t="shared" ca="1" si="15"/>
        <v>42190</v>
      </c>
      <c r="AF114" s="299"/>
    </row>
    <row r="124" spans="1:32" x14ac:dyDescent="0.2">
      <c r="D124" s="53" t="s">
        <v>1083</v>
      </c>
      <c r="E124" s="54" t="s">
        <v>1075</v>
      </c>
    </row>
    <row r="125" spans="1:32" x14ac:dyDescent="0.2">
      <c r="D125" s="53" t="s">
        <v>1084</v>
      </c>
      <c r="E125" s="253" t="s">
        <v>1076</v>
      </c>
    </row>
    <row r="126" spans="1:32" x14ac:dyDescent="0.2">
      <c r="D126" s="53" t="s">
        <v>1085</v>
      </c>
      <c r="E126" s="253" t="s">
        <v>1077</v>
      </c>
    </row>
    <row r="127" spans="1:32" x14ac:dyDescent="0.2">
      <c r="D127" s="1" t="s">
        <v>1086</v>
      </c>
      <c r="E127" s="253" t="s">
        <v>1078</v>
      </c>
    </row>
    <row r="128" spans="1:32" x14ac:dyDescent="0.2">
      <c r="D128" s="1" t="s">
        <v>1072</v>
      </c>
      <c r="E128" s="253" t="s">
        <v>1079</v>
      </c>
    </row>
    <row r="129" spans="4:5" x14ac:dyDescent="0.2">
      <c r="D129" s="308" t="s">
        <v>1071</v>
      </c>
      <c r="E129" s="253" t="s">
        <v>1080</v>
      </c>
    </row>
    <row r="130" spans="4:5" x14ac:dyDescent="0.2">
      <c r="D130" s="1" t="s">
        <v>1070</v>
      </c>
      <c r="E130" s="54" t="s">
        <v>1081</v>
      </c>
    </row>
    <row r="131" spans="4:5" x14ac:dyDescent="0.2">
      <c r="E131" s="471" t="s">
        <v>1082</v>
      </c>
    </row>
    <row r="132" spans="4:5" x14ac:dyDescent="0.2">
      <c r="E132" s="253" t="s">
        <v>1100</v>
      </c>
    </row>
  </sheetData>
  <mergeCells count="15">
    <mergeCell ref="X3:AB3"/>
    <mergeCell ref="AC3:AC4"/>
    <mergeCell ref="AF3:AF4"/>
    <mergeCell ref="F3:F4"/>
    <mergeCell ref="G3:S3"/>
    <mergeCell ref="T3:T4"/>
    <mergeCell ref="U3:U4"/>
    <mergeCell ref="V3:V4"/>
    <mergeCell ref="W3:W4"/>
    <mergeCell ref="D1:D2"/>
    <mergeCell ref="A3:A4"/>
    <mergeCell ref="B3:B4"/>
    <mergeCell ref="C3:C4"/>
    <mergeCell ref="D3:D4"/>
    <mergeCell ref="E3:E4"/>
  </mergeCells>
  <conditionalFormatting sqref="AE7 AE12:AE78">
    <cfRule type="expression" dxfId="87" priority="94" stopIfTrue="1">
      <formula>$AE7&gt;=-120</formula>
    </cfRule>
  </conditionalFormatting>
  <conditionalFormatting sqref="AE5:AE6">
    <cfRule type="expression" dxfId="86" priority="90" stopIfTrue="1">
      <formula>$AE5&gt;=-120</formula>
    </cfRule>
  </conditionalFormatting>
  <conditionalFormatting sqref="AE39">
    <cfRule type="expression" dxfId="85" priority="78" stopIfTrue="1">
      <formula>$AE39&gt;=-120</formula>
    </cfRule>
  </conditionalFormatting>
  <conditionalFormatting sqref="AE7">
    <cfRule type="expression" dxfId="84" priority="57" stopIfTrue="1">
      <formula>$AE7&gt;=-120</formula>
    </cfRule>
  </conditionalFormatting>
  <conditionalFormatting sqref="AE12">
    <cfRule type="expression" dxfId="83" priority="52" stopIfTrue="1">
      <formula>$AE12&gt;=-120</formula>
    </cfRule>
  </conditionalFormatting>
  <conditionalFormatting sqref="AE16">
    <cfRule type="expression" dxfId="82" priority="47" stopIfTrue="1">
      <formula>$AE16&gt;=-120</formula>
    </cfRule>
  </conditionalFormatting>
  <conditionalFormatting sqref="AE17">
    <cfRule type="expression" dxfId="81" priority="46" stopIfTrue="1">
      <formula>$AE17&gt;=-120</formula>
    </cfRule>
  </conditionalFormatting>
  <conditionalFormatting sqref="AE18">
    <cfRule type="expression" dxfId="80" priority="45" stopIfTrue="1">
      <formula>$AE18&gt;=-120</formula>
    </cfRule>
  </conditionalFormatting>
  <conditionalFormatting sqref="AE19">
    <cfRule type="expression" dxfId="79" priority="44" stopIfTrue="1">
      <formula>$AE19&gt;=-120</formula>
    </cfRule>
  </conditionalFormatting>
  <conditionalFormatting sqref="AE21">
    <cfRule type="expression" dxfId="78" priority="43" stopIfTrue="1">
      <formula>$AE21&gt;=-120</formula>
    </cfRule>
  </conditionalFormatting>
  <conditionalFormatting sqref="AE22">
    <cfRule type="expression" dxfId="77" priority="42" stopIfTrue="1">
      <formula>$AE22&gt;=-120</formula>
    </cfRule>
  </conditionalFormatting>
  <conditionalFormatting sqref="AE23">
    <cfRule type="expression" dxfId="76" priority="40" stopIfTrue="1">
      <formula>$AE23&gt;=-120</formula>
    </cfRule>
  </conditionalFormatting>
  <conditionalFormatting sqref="AE24">
    <cfRule type="expression" dxfId="75" priority="39" stopIfTrue="1">
      <formula>$AE24&gt;=-120</formula>
    </cfRule>
  </conditionalFormatting>
  <conditionalFormatting sqref="AE25">
    <cfRule type="expression" dxfId="74" priority="38" stopIfTrue="1">
      <formula>$AE25&gt;=-120</formula>
    </cfRule>
  </conditionalFormatting>
  <conditionalFormatting sqref="AE26:AE27">
    <cfRule type="expression" dxfId="73" priority="37" stopIfTrue="1">
      <formula>$AE26&gt;=-120</formula>
    </cfRule>
  </conditionalFormatting>
  <conditionalFormatting sqref="AE27">
    <cfRule type="expression" dxfId="72" priority="36" stopIfTrue="1">
      <formula>$AE27&gt;=-120</formula>
    </cfRule>
  </conditionalFormatting>
  <conditionalFormatting sqref="AE28:AE29">
    <cfRule type="expression" dxfId="71" priority="35" stopIfTrue="1">
      <formula>$AE28&gt;=-120</formula>
    </cfRule>
  </conditionalFormatting>
  <conditionalFormatting sqref="AE29">
    <cfRule type="expression" dxfId="70" priority="34" stopIfTrue="1">
      <formula>$AE29&gt;=-120</formula>
    </cfRule>
  </conditionalFormatting>
  <conditionalFormatting sqref="AE30">
    <cfRule type="expression" dxfId="69" priority="33" stopIfTrue="1">
      <formula>$AE30&gt;=-120</formula>
    </cfRule>
  </conditionalFormatting>
  <conditionalFormatting sqref="AE31">
    <cfRule type="expression" dxfId="68" priority="32" stopIfTrue="1">
      <formula>$AE31&gt;=-120</formula>
    </cfRule>
  </conditionalFormatting>
  <conditionalFormatting sqref="AE32">
    <cfRule type="expression" dxfId="67" priority="31" stopIfTrue="1">
      <formula>$AE32&gt;=-120</formula>
    </cfRule>
  </conditionalFormatting>
  <conditionalFormatting sqref="AE33">
    <cfRule type="expression" dxfId="66" priority="30" stopIfTrue="1">
      <formula>$AE33&gt;=-120</formula>
    </cfRule>
  </conditionalFormatting>
  <conditionalFormatting sqref="AE34">
    <cfRule type="expression" dxfId="65" priority="29" stopIfTrue="1">
      <formula>$AE34&gt;=-120</formula>
    </cfRule>
  </conditionalFormatting>
  <conditionalFormatting sqref="AE35">
    <cfRule type="expression" dxfId="64" priority="28" stopIfTrue="1">
      <formula>$AE35&gt;=-120</formula>
    </cfRule>
  </conditionalFormatting>
  <conditionalFormatting sqref="AE36">
    <cfRule type="expression" dxfId="63" priority="27" stopIfTrue="1">
      <formula>$AE36&gt;=-120</formula>
    </cfRule>
  </conditionalFormatting>
  <conditionalFormatting sqref="AE37">
    <cfRule type="expression" dxfId="62" priority="26" stopIfTrue="1">
      <formula>$AE37&gt;=-120</formula>
    </cfRule>
  </conditionalFormatting>
  <conditionalFormatting sqref="AE38:AE39">
    <cfRule type="expression" dxfId="61" priority="25" stopIfTrue="1">
      <formula>$AE38&gt;=-120</formula>
    </cfRule>
  </conditionalFormatting>
  <conditionalFormatting sqref="AE39">
    <cfRule type="expression" dxfId="60" priority="24" stopIfTrue="1">
      <formula>$AE39&gt;=-120</formula>
    </cfRule>
  </conditionalFormatting>
  <conditionalFormatting sqref="AE40:AE41">
    <cfRule type="expression" dxfId="59" priority="23" stopIfTrue="1">
      <formula>$AE40&gt;=-120</formula>
    </cfRule>
  </conditionalFormatting>
  <conditionalFormatting sqref="AE41">
    <cfRule type="expression" dxfId="58" priority="22" stopIfTrue="1">
      <formula>$AE41&gt;=-120</formula>
    </cfRule>
  </conditionalFormatting>
  <conditionalFormatting sqref="AE42">
    <cfRule type="expression" dxfId="57" priority="21" stopIfTrue="1">
      <formula>$AE42&gt;=-120</formula>
    </cfRule>
  </conditionalFormatting>
  <conditionalFormatting sqref="AE43">
    <cfRule type="expression" dxfId="56" priority="20" stopIfTrue="1">
      <formula>$AE43&gt;=-120</formula>
    </cfRule>
  </conditionalFormatting>
  <conditionalFormatting sqref="AE44">
    <cfRule type="expression" dxfId="55" priority="19" stopIfTrue="1">
      <formula>$AE44&gt;=-120</formula>
    </cfRule>
  </conditionalFormatting>
  <conditionalFormatting sqref="AE45">
    <cfRule type="expression" dxfId="54" priority="18" stopIfTrue="1">
      <formula>$AE45&gt;=-120</formula>
    </cfRule>
  </conditionalFormatting>
  <conditionalFormatting sqref="AE46:AE47">
    <cfRule type="expression" dxfId="53" priority="17" stopIfTrue="1">
      <formula>$AE46&gt;=-120</formula>
    </cfRule>
  </conditionalFormatting>
  <conditionalFormatting sqref="AE80:AE109 AE111:AE114">
    <cfRule type="expression" dxfId="52" priority="4" stopIfTrue="1">
      <formula>$AE80&gt;=-120</formula>
    </cfRule>
  </conditionalFormatting>
  <conditionalFormatting sqref="AE80:AE109 AE111:AE114">
    <cfRule type="expression" dxfId="51" priority="3" stopIfTrue="1">
      <formula>$AE80&gt;=-120</formula>
    </cfRule>
  </conditionalFormatting>
  <conditionalFormatting sqref="AE110">
    <cfRule type="expression" dxfId="50" priority="2" stopIfTrue="1">
      <formula>$AE110&gt;=-120</formula>
    </cfRule>
  </conditionalFormatting>
  <conditionalFormatting sqref="AE110">
    <cfRule type="expression" dxfId="49" priority="1" stopIfTrue="1">
      <formula>$AE110&gt;=-120</formula>
    </cfRule>
  </conditionalFormatting>
  <pageMargins left="0.11811023622047245" right="0.11811023622047245" top="0.19685039370078741" bottom="0.19685039370078741" header="3.937007874015748E-2" footer="3.937007874015748E-2"/>
  <pageSetup paperSize="9" scale="60" orientation="landscape" horizontalDpi="300" verticalDpi="300"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6:K67"/>
  <sheetViews>
    <sheetView topLeftCell="E10" zoomScaleNormal="100" workbookViewId="0">
      <selection activeCell="H4" sqref="H4"/>
    </sheetView>
  </sheetViews>
  <sheetFormatPr defaultColWidth="12.5703125" defaultRowHeight="12.75" x14ac:dyDescent="0.2"/>
  <cols>
    <col min="1" max="1" width="11.42578125" hidden="1" customWidth="1"/>
    <col min="2" max="3" width="13.28515625" hidden="1" customWidth="1"/>
    <col min="4" max="4" width="42.5703125" customWidth="1"/>
    <col min="5" max="5" width="75.5703125" bestFit="1" customWidth="1"/>
    <col min="6" max="6" width="20.5703125" customWidth="1"/>
    <col min="7" max="7" width="12.42578125" hidden="1" customWidth="1"/>
    <col min="8" max="8" width="35.5703125" bestFit="1" customWidth="1"/>
    <col min="9" max="9" width="17.5703125" hidden="1" customWidth="1"/>
    <col min="10" max="10" width="11.85546875" hidden="1" customWidth="1"/>
    <col min="11" max="11" width="8.7109375" hidden="1" customWidth="1"/>
  </cols>
  <sheetData>
    <row r="6" spans="1:11" ht="15" x14ac:dyDescent="0.25">
      <c r="J6" s="969" t="s">
        <v>0</v>
      </c>
      <c r="K6" s="969"/>
    </row>
    <row r="7" spans="1:11" ht="15" x14ac:dyDescent="0.25">
      <c r="H7" s="395" t="s">
        <v>0</v>
      </c>
      <c r="J7" s="970">
        <v>40999</v>
      </c>
      <c r="K7" s="970"/>
    </row>
    <row r="8" spans="1:11" ht="18.75" thickBot="1" x14ac:dyDescent="0.3">
      <c r="E8" s="384" t="s">
        <v>988</v>
      </c>
      <c r="F8" s="384"/>
      <c r="H8" s="396">
        <v>40999</v>
      </c>
    </row>
    <row r="9" spans="1:11" s="265" customFormat="1" ht="30" customHeight="1" thickTop="1" thickBot="1" x14ac:dyDescent="0.25">
      <c r="A9" s="956" t="s">
        <v>2</v>
      </c>
      <c r="B9" s="958" t="s">
        <v>3</v>
      </c>
      <c r="C9" s="958" t="s">
        <v>4</v>
      </c>
      <c r="D9" s="960" t="s">
        <v>5</v>
      </c>
      <c r="E9" s="960" t="s">
        <v>6</v>
      </c>
      <c r="F9" s="960" t="s">
        <v>7</v>
      </c>
      <c r="G9" s="962" t="s">
        <v>8</v>
      </c>
      <c r="H9" s="960" t="s">
        <v>9</v>
      </c>
      <c r="I9" s="960" t="s">
        <v>10</v>
      </c>
      <c r="J9" s="263" t="s">
        <v>984</v>
      </c>
      <c r="K9" s="965" t="s">
        <v>15</v>
      </c>
    </row>
    <row r="10" spans="1:11" s="265" customFormat="1" ht="30" customHeight="1" thickTop="1" thickBot="1" x14ac:dyDescent="0.25">
      <c r="A10" s="957"/>
      <c r="B10" s="959"/>
      <c r="C10" s="959"/>
      <c r="D10" s="958"/>
      <c r="E10" s="958"/>
      <c r="F10" s="958"/>
      <c r="G10" s="963"/>
      <c r="H10" s="958"/>
      <c r="I10" s="958"/>
      <c r="J10" s="378" t="s">
        <v>469</v>
      </c>
      <c r="K10" s="966"/>
    </row>
    <row r="11" spans="1:11" s="279" customFormat="1" ht="30" hidden="1" customHeight="1" x14ac:dyDescent="0.2">
      <c r="A11" s="280" t="s">
        <v>839</v>
      </c>
      <c r="B11" s="280" t="s">
        <v>23</v>
      </c>
      <c r="C11" s="280" t="s">
        <v>24</v>
      </c>
      <c r="D11" s="281" t="s">
        <v>260</v>
      </c>
      <c r="E11" s="281" t="s">
        <v>26</v>
      </c>
      <c r="F11" s="282" t="s">
        <v>354</v>
      </c>
      <c r="G11" s="285">
        <v>39946</v>
      </c>
      <c r="H11" s="286" t="s">
        <v>804</v>
      </c>
      <c r="I11" s="279" t="s">
        <v>841</v>
      </c>
      <c r="J11" s="289">
        <v>39576</v>
      </c>
      <c r="K11" s="280" t="s">
        <v>29</v>
      </c>
    </row>
    <row r="12" spans="1:11" s="279" customFormat="1" ht="30" hidden="1" customHeight="1" x14ac:dyDescent="0.2">
      <c r="A12" s="280" t="s">
        <v>636</v>
      </c>
      <c r="B12" s="280" t="s">
        <v>507</v>
      </c>
      <c r="C12" s="280" t="s">
        <v>772</v>
      </c>
      <c r="D12" s="290" t="s">
        <v>637</v>
      </c>
      <c r="E12" s="290" t="s">
        <v>638</v>
      </c>
      <c r="F12" s="291">
        <v>26882.400000000001</v>
      </c>
      <c r="G12" s="285">
        <v>40533</v>
      </c>
      <c r="H12" s="286" t="s">
        <v>804</v>
      </c>
      <c r="I12" s="293" t="s">
        <v>725</v>
      </c>
      <c r="J12" s="294">
        <v>40169</v>
      </c>
      <c r="K12" s="280" t="s">
        <v>41</v>
      </c>
    </row>
    <row r="13" spans="1:11" s="279" customFormat="1" ht="30" hidden="1" customHeight="1" x14ac:dyDescent="0.2">
      <c r="A13" s="280" t="s">
        <v>797</v>
      </c>
      <c r="B13" s="286" t="s">
        <v>23</v>
      </c>
      <c r="C13" s="280" t="s">
        <v>56</v>
      </c>
      <c r="D13" s="281" t="s">
        <v>186</v>
      </c>
      <c r="E13" s="281" t="s">
        <v>798</v>
      </c>
      <c r="F13" s="282">
        <v>14600</v>
      </c>
      <c r="G13" s="285">
        <v>40584</v>
      </c>
      <c r="H13" s="296" t="s">
        <v>814</v>
      </c>
      <c r="I13" s="298" t="s">
        <v>731</v>
      </c>
      <c r="J13" s="289">
        <v>40569</v>
      </c>
      <c r="K13" s="280" t="s">
        <v>169</v>
      </c>
    </row>
    <row r="14" spans="1:11" s="279" customFormat="1" ht="30" hidden="1" customHeight="1" x14ac:dyDescent="0.2">
      <c r="A14" s="280" t="s">
        <v>197</v>
      </c>
      <c r="B14" s="280" t="s">
        <v>23</v>
      </c>
      <c r="C14" s="280" t="s">
        <v>56</v>
      </c>
      <c r="D14" s="281" t="s">
        <v>198</v>
      </c>
      <c r="E14" s="281" t="s">
        <v>818</v>
      </c>
      <c r="F14" s="282">
        <v>2601.12</v>
      </c>
      <c r="G14" s="285">
        <v>40602</v>
      </c>
      <c r="H14" s="296" t="s">
        <v>816</v>
      </c>
      <c r="I14" s="293" t="s">
        <v>735</v>
      </c>
      <c r="J14" s="289">
        <v>38412</v>
      </c>
      <c r="K14" s="280" t="s">
        <v>201</v>
      </c>
    </row>
    <row r="15" spans="1:11" s="308" customFormat="1" ht="30" hidden="1" customHeight="1" x14ac:dyDescent="0.2">
      <c r="A15" s="299" t="s">
        <v>593</v>
      </c>
      <c r="B15" s="300" t="s">
        <v>23</v>
      </c>
      <c r="C15" s="299" t="s">
        <v>56</v>
      </c>
      <c r="D15" s="301" t="s">
        <v>594</v>
      </c>
      <c r="E15" s="301" t="s">
        <v>595</v>
      </c>
      <c r="F15" s="302">
        <v>7200</v>
      </c>
      <c r="G15" s="303">
        <v>40688</v>
      </c>
      <c r="H15" s="304" t="s">
        <v>694</v>
      </c>
      <c r="I15" s="293" t="s">
        <v>740</v>
      </c>
      <c r="J15" s="307">
        <v>39959</v>
      </c>
      <c r="K15" s="299" t="s">
        <v>41</v>
      </c>
    </row>
    <row r="16" spans="1:11" s="311" customFormat="1" ht="30" hidden="1" customHeight="1" x14ac:dyDescent="0.2">
      <c r="A16" s="299" t="s">
        <v>781</v>
      </c>
      <c r="B16" s="299" t="s">
        <v>790</v>
      </c>
      <c r="C16" s="299" t="s">
        <v>37</v>
      </c>
      <c r="D16" s="301" t="s">
        <v>782</v>
      </c>
      <c r="E16" s="301" t="s">
        <v>783</v>
      </c>
      <c r="F16" s="302" t="s">
        <v>784</v>
      </c>
      <c r="G16" s="309">
        <v>40741</v>
      </c>
      <c r="H16" s="304" t="s">
        <v>785</v>
      </c>
      <c r="I16" s="310" t="s">
        <v>789</v>
      </c>
      <c r="J16" s="307">
        <v>40561</v>
      </c>
      <c r="K16" s="299" t="s">
        <v>41</v>
      </c>
    </row>
    <row r="17" spans="1:11" s="311" customFormat="1" ht="30" hidden="1" customHeight="1" x14ac:dyDescent="0.2">
      <c r="A17" s="299" t="s">
        <v>164</v>
      </c>
      <c r="B17" s="300" t="s">
        <v>165</v>
      </c>
      <c r="C17" s="299" t="s">
        <v>37</v>
      </c>
      <c r="D17" s="301" t="s">
        <v>303</v>
      </c>
      <c r="E17" s="301" t="s">
        <v>167</v>
      </c>
      <c r="F17" s="302">
        <v>35559.599999999999</v>
      </c>
      <c r="G17" s="309">
        <v>41269</v>
      </c>
      <c r="H17" s="296" t="s">
        <v>1013</v>
      </c>
      <c r="I17" s="315" t="s">
        <v>727</v>
      </c>
      <c r="J17" s="307">
        <v>39080</v>
      </c>
      <c r="K17" s="299" t="s">
        <v>169</v>
      </c>
    </row>
    <row r="18" spans="1:11" s="311" customFormat="1" ht="30" hidden="1" customHeight="1" x14ac:dyDescent="0.2">
      <c r="A18" s="329" t="s">
        <v>599</v>
      </c>
      <c r="B18" s="329" t="s">
        <v>600</v>
      </c>
      <c r="C18" s="329" t="s">
        <v>613</v>
      </c>
      <c r="D18" s="379" t="s">
        <v>985</v>
      </c>
      <c r="E18" s="379" t="s">
        <v>696</v>
      </c>
      <c r="F18" s="331">
        <v>309430.8</v>
      </c>
      <c r="G18" s="332">
        <v>40949</v>
      </c>
      <c r="H18" s="382" t="s">
        <v>843</v>
      </c>
      <c r="I18" s="333" t="s">
        <v>732</v>
      </c>
      <c r="J18" s="336">
        <v>40036</v>
      </c>
      <c r="K18" s="329" t="s">
        <v>48</v>
      </c>
    </row>
    <row r="19" spans="1:11" s="311" customFormat="1" ht="30" hidden="1" customHeight="1" x14ac:dyDescent="0.2">
      <c r="A19" s="329" t="s">
        <v>610</v>
      </c>
      <c r="B19" s="329" t="s">
        <v>23</v>
      </c>
      <c r="C19" s="329" t="s">
        <v>56</v>
      </c>
      <c r="D19" s="379" t="s">
        <v>986</v>
      </c>
      <c r="E19" s="379" t="s">
        <v>608</v>
      </c>
      <c r="F19" s="331">
        <v>17034.72</v>
      </c>
      <c r="G19" s="332">
        <v>40977</v>
      </c>
      <c r="H19" s="382" t="s">
        <v>837</v>
      </c>
      <c r="I19" s="333" t="s">
        <v>736</v>
      </c>
      <c r="J19" s="336">
        <v>39882</v>
      </c>
      <c r="K19" s="329" t="s">
        <v>96</v>
      </c>
    </row>
    <row r="20" spans="1:11" s="311" customFormat="1" ht="30" hidden="1" customHeight="1" x14ac:dyDescent="0.2">
      <c r="A20" s="348" t="s">
        <v>934</v>
      </c>
      <c r="B20" s="299" t="s">
        <v>23</v>
      </c>
      <c r="C20" s="299" t="s">
        <v>61</v>
      </c>
      <c r="D20" s="349" t="s">
        <v>935</v>
      </c>
      <c r="E20" s="349" t="s">
        <v>936</v>
      </c>
      <c r="F20" s="302" t="s">
        <v>937</v>
      </c>
      <c r="G20" s="303">
        <v>40967</v>
      </c>
      <c r="H20" s="304" t="s">
        <v>1016</v>
      </c>
      <c r="I20" s="315"/>
      <c r="J20" s="307">
        <v>40876</v>
      </c>
      <c r="K20" s="299"/>
    </row>
    <row r="21" spans="1:11" s="311" customFormat="1" ht="30" customHeight="1" x14ac:dyDescent="0.2">
      <c r="A21" s="321" t="s">
        <v>845</v>
      </c>
      <c r="B21" s="299" t="s">
        <v>23</v>
      </c>
      <c r="C21" s="299" t="s">
        <v>61</v>
      </c>
      <c r="D21" s="301" t="s">
        <v>333</v>
      </c>
      <c r="E21" s="301" t="s">
        <v>846</v>
      </c>
      <c r="F21" s="302">
        <v>1200</v>
      </c>
      <c r="G21" s="303">
        <v>41012</v>
      </c>
      <c r="H21" s="304" t="s">
        <v>847</v>
      </c>
      <c r="I21" s="315" t="s">
        <v>863</v>
      </c>
      <c r="J21" s="307">
        <v>40647</v>
      </c>
      <c r="K21" s="299" t="s">
        <v>41</v>
      </c>
    </row>
    <row r="22" spans="1:11" s="311" customFormat="1" ht="30" customHeight="1" x14ac:dyDescent="0.2">
      <c r="A22" s="321" t="s">
        <v>583</v>
      </c>
      <c r="B22" s="299" t="s">
        <v>23</v>
      </c>
      <c r="C22" s="299" t="s">
        <v>61</v>
      </c>
      <c r="D22" s="301" t="s">
        <v>50</v>
      </c>
      <c r="E22" s="301" t="s">
        <v>51</v>
      </c>
      <c r="F22" s="302" t="s">
        <v>848</v>
      </c>
      <c r="G22" s="303">
        <v>41021</v>
      </c>
      <c r="H22" s="304" t="s">
        <v>849</v>
      </c>
      <c r="I22" s="315" t="s">
        <v>738</v>
      </c>
      <c r="J22" s="307">
        <v>39926</v>
      </c>
      <c r="K22" s="299" t="s">
        <v>54</v>
      </c>
    </row>
    <row r="23" spans="1:11" s="311" customFormat="1" ht="30" customHeight="1" x14ac:dyDescent="0.2">
      <c r="A23" s="299" t="s">
        <v>677</v>
      </c>
      <c r="B23" s="322" t="s">
        <v>678</v>
      </c>
      <c r="C23" s="299" t="s">
        <v>37</v>
      </c>
      <c r="D23" s="301" t="s">
        <v>38</v>
      </c>
      <c r="E23" s="301" t="s">
        <v>679</v>
      </c>
      <c r="F23" s="302">
        <v>79590</v>
      </c>
      <c r="G23" s="303">
        <v>41049</v>
      </c>
      <c r="H23" s="304" t="s">
        <v>844</v>
      </c>
      <c r="I23" s="315" t="s">
        <v>739</v>
      </c>
      <c r="J23" s="307">
        <v>40318</v>
      </c>
      <c r="K23" s="299" t="s">
        <v>41</v>
      </c>
    </row>
    <row r="24" spans="1:11" s="311" customFormat="1" ht="30" customHeight="1" x14ac:dyDescent="0.2">
      <c r="A24" s="299" t="s">
        <v>682</v>
      </c>
      <c r="B24" s="299" t="s">
        <v>683</v>
      </c>
      <c r="C24" s="299" t="s">
        <v>37</v>
      </c>
      <c r="D24" s="301" t="s">
        <v>684</v>
      </c>
      <c r="E24" s="301" t="s">
        <v>685</v>
      </c>
      <c r="F24" s="302" t="s">
        <v>686</v>
      </c>
      <c r="G24" s="303">
        <v>41067</v>
      </c>
      <c r="H24" s="304" t="s">
        <v>854</v>
      </c>
      <c r="I24" s="315" t="s">
        <v>741</v>
      </c>
      <c r="J24" s="307">
        <v>40336</v>
      </c>
      <c r="K24" s="299">
        <v>1</v>
      </c>
    </row>
    <row r="25" spans="1:11" s="311" customFormat="1" ht="30" customHeight="1" x14ac:dyDescent="0.2">
      <c r="A25" s="299" t="s">
        <v>589</v>
      </c>
      <c r="B25" s="299" t="s">
        <v>590</v>
      </c>
      <c r="C25" s="299" t="s">
        <v>56</v>
      </c>
      <c r="D25" s="301" t="s">
        <v>138</v>
      </c>
      <c r="E25" s="301" t="s">
        <v>591</v>
      </c>
      <c r="F25" s="302" t="s">
        <v>851</v>
      </c>
      <c r="G25" s="303">
        <v>41068</v>
      </c>
      <c r="H25" s="304" t="s">
        <v>852</v>
      </c>
      <c r="I25" s="315" t="s">
        <v>740</v>
      </c>
      <c r="J25" s="307">
        <v>39973</v>
      </c>
      <c r="K25" s="299" t="s">
        <v>48</v>
      </c>
    </row>
    <row r="26" spans="1:11" s="311" customFormat="1" ht="30" customHeight="1" x14ac:dyDescent="0.2">
      <c r="A26" s="299" t="s">
        <v>579</v>
      </c>
      <c r="B26" s="299" t="s">
        <v>23</v>
      </c>
      <c r="C26" s="299" t="s">
        <v>56</v>
      </c>
      <c r="D26" s="301" t="s">
        <v>580</v>
      </c>
      <c r="E26" s="301" t="s">
        <v>581</v>
      </c>
      <c r="F26" s="302" t="s">
        <v>864</v>
      </c>
      <c r="G26" s="303">
        <v>41074</v>
      </c>
      <c r="H26" s="304" t="s">
        <v>865</v>
      </c>
      <c r="I26" s="315" t="s">
        <v>742</v>
      </c>
      <c r="J26" s="307">
        <v>39979</v>
      </c>
      <c r="K26" s="299" t="s">
        <v>48</v>
      </c>
    </row>
    <row r="27" spans="1:11" s="311" customFormat="1" ht="30" customHeight="1" x14ac:dyDescent="0.2">
      <c r="A27" s="299" t="s">
        <v>360</v>
      </c>
      <c r="B27" s="299" t="s">
        <v>23</v>
      </c>
      <c r="C27" s="299" t="s">
        <v>61</v>
      </c>
      <c r="D27" s="301" t="s">
        <v>212</v>
      </c>
      <c r="E27" s="301" t="s">
        <v>361</v>
      </c>
      <c r="F27" s="302">
        <v>7040.16</v>
      </c>
      <c r="G27" s="303">
        <v>41078</v>
      </c>
      <c r="H27" s="304" t="s">
        <v>853</v>
      </c>
      <c r="I27" s="315" t="s">
        <v>726</v>
      </c>
      <c r="J27" s="307">
        <v>39617</v>
      </c>
      <c r="K27" s="299" t="s">
        <v>48</v>
      </c>
    </row>
    <row r="28" spans="1:11" s="311" customFormat="1" ht="30" customHeight="1" x14ac:dyDescent="0.2">
      <c r="A28" s="299" t="s">
        <v>356</v>
      </c>
      <c r="B28" s="299" t="s">
        <v>23</v>
      </c>
      <c r="C28" s="299" t="s">
        <v>61</v>
      </c>
      <c r="D28" s="301" t="s">
        <v>62</v>
      </c>
      <c r="E28" s="301" t="s">
        <v>357</v>
      </c>
      <c r="F28" s="302">
        <v>8004.24</v>
      </c>
      <c r="G28" s="303">
        <v>41080</v>
      </c>
      <c r="H28" s="304" t="s">
        <v>853</v>
      </c>
      <c r="I28" s="315" t="s">
        <v>743</v>
      </c>
      <c r="J28" s="307">
        <v>39619</v>
      </c>
      <c r="K28" s="299" t="s">
        <v>48</v>
      </c>
    </row>
    <row r="29" spans="1:11" s="311" customFormat="1" ht="30" customHeight="1" x14ac:dyDescent="0.2">
      <c r="A29" s="299" t="s">
        <v>363</v>
      </c>
      <c r="B29" s="300" t="s">
        <v>364</v>
      </c>
      <c r="C29" s="299" t="s">
        <v>37</v>
      </c>
      <c r="D29" s="301" t="s">
        <v>365</v>
      </c>
      <c r="E29" s="301" t="s">
        <v>366</v>
      </c>
      <c r="F29" s="302">
        <v>27203.040000000001</v>
      </c>
      <c r="G29" s="303">
        <v>41114</v>
      </c>
      <c r="H29" s="304" t="s">
        <v>866</v>
      </c>
      <c r="I29" s="315" t="s">
        <v>744</v>
      </c>
      <c r="J29" s="307">
        <v>39288</v>
      </c>
      <c r="K29" s="299" t="s">
        <v>96</v>
      </c>
    </row>
    <row r="30" spans="1:11" s="311" customFormat="1" ht="30" customHeight="1" x14ac:dyDescent="0.2">
      <c r="A30" s="299" t="s">
        <v>286</v>
      </c>
      <c r="B30" s="300" t="s">
        <v>251</v>
      </c>
      <c r="C30" s="299" t="s">
        <v>37</v>
      </c>
      <c r="D30" s="301" t="s">
        <v>287</v>
      </c>
      <c r="E30" s="301" t="s">
        <v>288</v>
      </c>
      <c r="F30" s="302" t="s">
        <v>921</v>
      </c>
      <c r="G30" s="309">
        <v>41126</v>
      </c>
      <c r="H30" s="304" t="s">
        <v>966</v>
      </c>
      <c r="I30" s="315" t="s">
        <v>723</v>
      </c>
      <c r="J30" s="307">
        <v>39300</v>
      </c>
      <c r="K30" s="299" t="s">
        <v>649</v>
      </c>
    </row>
    <row r="31" spans="1:11" s="311" customFormat="1" ht="30" customHeight="1" x14ac:dyDescent="0.2">
      <c r="A31" s="299" t="s">
        <v>584</v>
      </c>
      <c r="B31" s="300" t="s">
        <v>585</v>
      </c>
      <c r="C31" s="299" t="s">
        <v>613</v>
      </c>
      <c r="D31" s="301" t="s">
        <v>586</v>
      </c>
      <c r="E31" s="301" t="s">
        <v>587</v>
      </c>
      <c r="F31" s="302" t="s">
        <v>925</v>
      </c>
      <c r="G31" s="303">
        <v>41132</v>
      </c>
      <c r="H31" s="304" t="s">
        <v>924</v>
      </c>
      <c r="I31" s="315" t="s">
        <v>733</v>
      </c>
      <c r="J31" s="307">
        <v>40037</v>
      </c>
      <c r="K31" s="299" t="s">
        <v>96</v>
      </c>
    </row>
    <row r="32" spans="1:11" s="311" customFormat="1" ht="30" customHeight="1" x14ac:dyDescent="0.2">
      <c r="A32" s="299" t="s">
        <v>412</v>
      </c>
      <c r="B32" s="299" t="s">
        <v>413</v>
      </c>
      <c r="C32" s="299" t="s">
        <v>613</v>
      </c>
      <c r="D32" s="301" t="s">
        <v>414</v>
      </c>
      <c r="E32" s="301" t="s">
        <v>415</v>
      </c>
      <c r="F32" s="302">
        <v>90271.1</v>
      </c>
      <c r="G32" s="303">
        <v>41141</v>
      </c>
      <c r="H32" s="304" t="s">
        <v>771</v>
      </c>
      <c r="I32" s="315" t="s">
        <v>756</v>
      </c>
      <c r="J32" s="307">
        <v>39680</v>
      </c>
      <c r="K32" s="299" t="s">
        <v>41</v>
      </c>
    </row>
    <row r="33" spans="1:11" s="311" customFormat="1" ht="30" customHeight="1" x14ac:dyDescent="0.2">
      <c r="A33" s="299" t="s">
        <v>872</v>
      </c>
      <c r="B33" s="299" t="s">
        <v>23</v>
      </c>
      <c r="C33" s="299" t="s">
        <v>24</v>
      </c>
      <c r="D33" s="301" t="s">
        <v>873</v>
      </c>
      <c r="E33" s="301" t="s">
        <v>874</v>
      </c>
      <c r="F33" s="302" t="s">
        <v>875</v>
      </c>
      <c r="G33" s="303">
        <v>41146</v>
      </c>
      <c r="H33" s="317" t="s">
        <v>876</v>
      </c>
      <c r="I33" s="318" t="s">
        <v>840</v>
      </c>
      <c r="J33" s="307">
        <v>40781</v>
      </c>
      <c r="K33" s="299" t="s">
        <v>34</v>
      </c>
    </row>
    <row r="34" spans="1:11" s="311" customFormat="1" ht="30" customHeight="1" x14ac:dyDescent="0.2">
      <c r="A34" s="299" t="s">
        <v>488</v>
      </c>
      <c r="B34" s="300" t="s">
        <v>251</v>
      </c>
      <c r="C34" s="299" t="s">
        <v>613</v>
      </c>
      <c r="D34" s="301" t="s">
        <v>44</v>
      </c>
      <c r="E34" s="301" t="s">
        <v>653</v>
      </c>
      <c r="F34" s="302">
        <v>170814</v>
      </c>
      <c r="G34" s="303">
        <v>41154</v>
      </c>
      <c r="H34" s="304" t="s">
        <v>974</v>
      </c>
      <c r="I34" s="315" t="s">
        <v>746</v>
      </c>
      <c r="J34" s="307">
        <v>39328</v>
      </c>
      <c r="K34" s="299" t="s">
        <v>48</v>
      </c>
    </row>
    <row r="35" spans="1:11" s="311" customFormat="1" ht="30" customHeight="1" x14ac:dyDescent="0.2">
      <c r="A35" s="299" t="s">
        <v>259</v>
      </c>
      <c r="B35" s="299" t="s">
        <v>23</v>
      </c>
      <c r="C35" s="299" t="s">
        <v>24</v>
      </c>
      <c r="D35" s="301" t="s">
        <v>260</v>
      </c>
      <c r="E35" s="301" t="s">
        <v>656</v>
      </c>
      <c r="F35" s="302" t="s">
        <v>842</v>
      </c>
      <c r="G35" s="309">
        <v>41182</v>
      </c>
      <c r="H35" s="304" t="s">
        <v>949</v>
      </c>
      <c r="I35" s="310" t="s">
        <v>841</v>
      </c>
      <c r="J35" s="307">
        <v>39356</v>
      </c>
      <c r="K35" s="299" t="s">
        <v>34</v>
      </c>
    </row>
    <row r="36" spans="1:11" s="311" customFormat="1" ht="30" customHeight="1" x14ac:dyDescent="0.2">
      <c r="A36" s="299" t="s">
        <v>616</v>
      </c>
      <c r="B36" s="299" t="s">
        <v>600</v>
      </c>
      <c r="C36" s="299" t="s">
        <v>617</v>
      </c>
      <c r="D36" s="301" t="s">
        <v>618</v>
      </c>
      <c r="E36" s="301" t="s">
        <v>654</v>
      </c>
      <c r="F36" s="302" t="s">
        <v>655</v>
      </c>
      <c r="G36" s="309">
        <v>41191</v>
      </c>
      <c r="H36" s="304" t="s">
        <v>914</v>
      </c>
      <c r="I36" s="315" t="s">
        <v>748</v>
      </c>
      <c r="J36" s="307">
        <v>40095</v>
      </c>
      <c r="K36" s="299" t="s">
        <v>48</v>
      </c>
    </row>
    <row r="37" spans="1:11" s="311" customFormat="1" ht="30" customHeight="1" x14ac:dyDescent="0.2">
      <c r="A37" s="299" t="s">
        <v>215</v>
      </c>
      <c r="B37" s="299" t="s">
        <v>23</v>
      </c>
      <c r="C37" s="299" t="s">
        <v>24</v>
      </c>
      <c r="D37" s="301" t="s">
        <v>216</v>
      </c>
      <c r="E37" s="301" t="s">
        <v>217</v>
      </c>
      <c r="F37" s="302" t="s">
        <v>375</v>
      </c>
      <c r="G37" s="303">
        <v>41198</v>
      </c>
      <c r="H37" s="304" t="s">
        <v>561</v>
      </c>
      <c r="I37" s="315" t="s">
        <v>757</v>
      </c>
      <c r="J37" s="307">
        <v>39737</v>
      </c>
      <c r="K37" s="299" t="s">
        <v>169</v>
      </c>
    </row>
    <row r="38" spans="1:11" s="311" customFormat="1" ht="30" customHeight="1" x14ac:dyDescent="0.2">
      <c r="A38" s="299" t="s">
        <v>711</v>
      </c>
      <c r="B38" s="299" t="s">
        <v>23</v>
      </c>
      <c r="C38" s="299" t="s">
        <v>61</v>
      </c>
      <c r="D38" s="301" t="s">
        <v>98</v>
      </c>
      <c r="E38" s="301" t="s">
        <v>712</v>
      </c>
      <c r="F38" s="302" t="s">
        <v>713</v>
      </c>
      <c r="G38" s="303">
        <v>41204</v>
      </c>
      <c r="H38" s="304" t="s">
        <v>913</v>
      </c>
      <c r="I38" s="315" t="s">
        <v>749</v>
      </c>
      <c r="J38" s="307">
        <v>40473</v>
      </c>
      <c r="K38" s="299" t="s">
        <v>48</v>
      </c>
    </row>
    <row r="39" spans="1:11" s="311" customFormat="1" ht="30" customHeight="1" x14ac:dyDescent="0.2">
      <c r="A39" s="299" t="s">
        <v>115</v>
      </c>
      <c r="B39" s="299" t="s">
        <v>23</v>
      </c>
      <c r="C39" s="299" t="s">
        <v>56</v>
      </c>
      <c r="D39" s="301" t="s">
        <v>116</v>
      </c>
      <c r="E39" s="301" t="s">
        <v>117</v>
      </c>
      <c r="F39" s="323">
        <v>5924.8</v>
      </c>
      <c r="G39" s="309">
        <v>41206</v>
      </c>
      <c r="H39" s="304" t="s">
        <v>912</v>
      </c>
      <c r="I39" s="315" t="s">
        <v>750</v>
      </c>
      <c r="J39" s="307">
        <v>39015</v>
      </c>
      <c r="K39" s="299" t="s">
        <v>96</v>
      </c>
    </row>
    <row r="40" spans="1:11" s="311" customFormat="1" ht="30" customHeight="1" x14ac:dyDescent="0.2">
      <c r="A40" s="299" t="s">
        <v>915</v>
      </c>
      <c r="B40" s="299"/>
      <c r="C40" s="299" t="s">
        <v>56</v>
      </c>
      <c r="D40" s="301" t="s">
        <v>973</v>
      </c>
      <c r="E40" s="301" t="s">
        <v>917</v>
      </c>
      <c r="F40" s="302">
        <v>6500</v>
      </c>
      <c r="G40" s="309">
        <v>41207</v>
      </c>
      <c r="H40" s="304" t="s">
        <v>918</v>
      </c>
      <c r="I40" s="315"/>
      <c r="J40" s="307">
        <v>40842</v>
      </c>
      <c r="K40" s="299" t="s">
        <v>649</v>
      </c>
    </row>
    <row r="41" spans="1:11" s="311" customFormat="1" ht="30" customHeight="1" x14ac:dyDescent="0.2">
      <c r="A41" s="299" t="s">
        <v>397</v>
      </c>
      <c r="B41" s="299" t="s">
        <v>398</v>
      </c>
      <c r="C41" s="299" t="s">
        <v>613</v>
      </c>
      <c r="D41" s="301" t="s">
        <v>399</v>
      </c>
      <c r="E41" s="301" t="s">
        <v>400</v>
      </c>
      <c r="F41" s="302" t="s">
        <v>919</v>
      </c>
      <c r="G41" s="303">
        <v>41215</v>
      </c>
      <c r="H41" s="304" t="s">
        <v>920</v>
      </c>
      <c r="I41" s="315" t="s">
        <v>752</v>
      </c>
      <c r="J41" s="307">
        <v>39755</v>
      </c>
      <c r="K41" s="299" t="s">
        <v>48</v>
      </c>
    </row>
    <row r="42" spans="1:11" s="311" customFormat="1" ht="30" customHeight="1" x14ac:dyDescent="0.2">
      <c r="A42" s="299" t="s">
        <v>137</v>
      </c>
      <c r="B42" s="299" t="s">
        <v>23</v>
      </c>
      <c r="C42" s="299" t="s">
        <v>56</v>
      </c>
      <c r="D42" s="301" t="s">
        <v>138</v>
      </c>
      <c r="E42" s="301" t="s">
        <v>139</v>
      </c>
      <c r="F42" s="302" t="s">
        <v>952</v>
      </c>
      <c r="G42" s="303">
        <v>41228</v>
      </c>
      <c r="H42" s="304" t="s">
        <v>953</v>
      </c>
      <c r="I42" s="315" t="s">
        <v>740</v>
      </c>
      <c r="J42" s="307">
        <v>39037</v>
      </c>
      <c r="K42" s="299" t="s">
        <v>48</v>
      </c>
    </row>
    <row r="43" spans="1:11" s="311" customFormat="1" ht="30" customHeight="1" x14ac:dyDescent="0.2">
      <c r="A43" s="299" t="s">
        <v>786</v>
      </c>
      <c r="B43" s="300" t="s">
        <v>23</v>
      </c>
      <c r="C43" s="299" t="s">
        <v>372</v>
      </c>
      <c r="D43" s="301" t="s">
        <v>787</v>
      </c>
      <c r="E43" s="301" t="s">
        <v>791</v>
      </c>
      <c r="F43" s="302" t="s">
        <v>375</v>
      </c>
      <c r="G43" s="309">
        <v>41228</v>
      </c>
      <c r="H43" s="304" t="s">
        <v>788</v>
      </c>
      <c r="I43" s="310" t="s">
        <v>838</v>
      </c>
      <c r="J43" s="307">
        <v>40498</v>
      </c>
      <c r="K43" s="299" t="s">
        <v>96</v>
      </c>
    </row>
    <row r="44" spans="1:11" s="311" customFormat="1" ht="30" customHeight="1" x14ac:dyDescent="0.2">
      <c r="A44" s="299" t="s">
        <v>628</v>
      </c>
      <c r="B44" s="299" t="s">
        <v>585</v>
      </c>
      <c r="C44" s="299" t="s">
        <v>617</v>
      </c>
      <c r="D44" s="312" t="s">
        <v>44</v>
      </c>
      <c r="E44" s="337" t="s">
        <v>932</v>
      </c>
      <c r="F44" s="313">
        <v>40083.480000000003</v>
      </c>
      <c r="G44" s="303">
        <v>41243</v>
      </c>
      <c r="H44" s="326" t="s">
        <v>931</v>
      </c>
      <c r="I44" s="315" t="s">
        <v>746</v>
      </c>
      <c r="J44" s="316">
        <v>40147</v>
      </c>
      <c r="K44" s="299" t="s">
        <v>48</v>
      </c>
    </row>
    <row r="45" spans="1:11" s="311" customFormat="1" ht="30" customHeight="1" x14ac:dyDescent="0.2">
      <c r="A45" s="299" t="s">
        <v>765</v>
      </c>
      <c r="B45" s="299" t="s">
        <v>773</v>
      </c>
      <c r="C45" s="299" t="s">
        <v>37</v>
      </c>
      <c r="D45" s="301" t="s">
        <v>88</v>
      </c>
      <c r="E45" s="301" t="s">
        <v>766</v>
      </c>
      <c r="F45" s="302">
        <v>30832.36</v>
      </c>
      <c r="G45" s="357">
        <v>41258</v>
      </c>
      <c r="H45" s="358" t="s">
        <v>951</v>
      </c>
      <c r="I45" s="315" t="s">
        <v>775</v>
      </c>
      <c r="J45" s="307">
        <v>40527</v>
      </c>
      <c r="K45" s="310" t="s">
        <v>48</v>
      </c>
    </row>
    <row r="46" spans="1:11" s="311" customFormat="1" ht="30" customHeight="1" x14ac:dyDescent="0.2">
      <c r="A46" s="299" t="s">
        <v>993</v>
      </c>
      <c r="B46" s="299" t="s">
        <v>23</v>
      </c>
      <c r="C46" s="299" t="s">
        <v>56</v>
      </c>
      <c r="D46" s="301" t="s">
        <v>83</v>
      </c>
      <c r="E46" s="301" t="s">
        <v>994</v>
      </c>
      <c r="F46" s="302" t="s">
        <v>769</v>
      </c>
      <c r="G46" s="303">
        <v>41277</v>
      </c>
      <c r="H46" s="304" t="s">
        <v>1015</v>
      </c>
      <c r="I46" s="315" t="s">
        <v>730</v>
      </c>
      <c r="J46" s="307">
        <v>39480</v>
      </c>
      <c r="K46" s="299" t="s">
        <v>48</v>
      </c>
    </row>
    <row r="47" spans="1:11" s="311" customFormat="1" ht="30" customHeight="1" x14ac:dyDescent="0.2">
      <c r="A47" s="299" t="s">
        <v>658</v>
      </c>
      <c r="B47" s="299" t="s">
        <v>23</v>
      </c>
      <c r="C47" s="299" t="s">
        <v>24</v>
      </c>
      <c r="D47" s="301" t="s">
        <v>171</v>
      </c>
      <c r="E47" s="301" t="s">
        <v>779</v>
      </c>
      <c r="F47" s="302" t="s">
        <v>659</v>
      </c>
      <c r="G47" s="303">
        <v>41278</v>
      </c>
      <c r="H47" s="304" t="s">
        <v>950</v>
      </c>
      <c r="I47" s="315" t="s">
        <v>753</v>
      </c>
      <c r="J47" s="307">
        <v>40182</v>
      </c>
      <c r="K47" s="299" t="s">
        <v>54</v>
      </c>
    </row>
    <row r="48" spans="1:11" s="311" customFormat="1" ht="30" customHeight="1" x14ac:dyDescent="0.2">
      <c r="A48" s="299" t="s">
        <v>193</v>
      </c>
      <c r="B48" s="299" t="s">
        <v>23</v>
      </c>
      <c r="C48" s="299" t="s">
        <v>56</v>
      </c>
      <c r="D48" s="301" t="s">
        <v>194</v>
      </c>
      <c r="E48" s="301" t="s">
        <v>195</v>
      </c>
      <c r="F48" s="302">
        <v>15600</v>
      </c>
      <c r="G48" s="303">
        <v>41317</v>
      </c>
      <c r="H48" s="304" t="s">
        <v>954</v>
      </c>
      <c r="I48" s="315" t="s">
        <v>734</v>
      </c>
      <c r="J48" s="307">
        <v>39125</v>
      </c>
      <c r="K48" s="299" t="s">
        <v>48</v>
      </c>
    </row>
    <row r="49" spans="1:11" s="311" customFormat="1" ht="30" customHeight="1" x14ac:dyDescent="0.2">
      <c r="A49" s="326" t="s">
        <v>955</v>
      </c>
      <c r="B49" s="299" t="s">
        <v>773</v>
      </c>
      <c r="C49" s="299" t="s">
        <v>772</v>
      </c>
      <c r="D49" s="349" t="s">
        <v>956</v>
      </c>
      <c r="E49" s="349" t="s">
        <v>957</v>
      </c>
      <c r="F49" s="302" t="s">
        <v>958</v>
      </c>
      <c r="G49" s="303">
        <v>41317</v>
      </c>
      <c r="H49" s="351" t="s">
        <v>959</v>
      </c>
      <c r="I49" s="310"/>
      <c r="J49" s="307">
        <v>40952</v>
      </c>
      <c r="K49" s="326" t="s">
        <v>48</v>
      </c>
    </row>
    <row r="50" spans="1:11" s="311" customFormat="1" ht="30" hidden="1" customHeight="1" x14ac:dyDescent="0.2">
      <c r="A50" s="299" t="s">
        <v>688</v>
      </c>
      <c r="B50" s="299" t="s">
        <v>689</v>
      </c>
      <c r="C50" s="299" t="s">
        <v>613</v>
      </c>
      <c r="D50" s="301" t="s">
        <v>690</v>
      </c>
      <c r="E50" s="301" t="s">
        <v>691</v>
      </c>
      <c r="F50" s="302">
        <v>24600</v>
      </c>
      <c r="G50" s="303">
        <v>41322</v>
      </c>
      <c r="H50" s="304" t="s">
        <v>692</v>
      </c>
      <c r="I50" s="315" t="s">
        <v>758</v>
      </c>
      <c r="J50" s="307">
        <v>40227</v>
      </c>
      <c r="K50" s="299" t="s">
        <v>41</v>
      </c>
    </row>
    <row r="51" spans="1:11" s="311" customFormat="1" ht="30" customHeight="1" x14ac:dyDescent="0.2">
      <c r="A51" s="326" t="s">
        <v>960</v>
      </c>
      <c r="B51" s="299" t="s">
        <v>23</v>
      </c>
      <c r="C51" s="299" t="s">
        <v>56</v>
      </c>
      <c r="D51" s="349" t="s">
        <v>961</v>
      </c>
      <c r="E51" s="349" t="s">
        <v>962</v>
      </c>
      <c r="F51" s="302" t="s">
        <v>963</v>
      </c>
      <c r="G51" s="303">
        <v>41328</v>
      </c>
      <c r="H51" s="351" t="s">
        <v>964</v>
      </c>
      <c r="I51" s="310" t="s">
        <v>977</v>
      </c>
      <c r="J51" s="307">
        <v>40963</v>
      </c>
      <c r="K51" s="326" t="s">
        <v>96</v>
      </c>
    </row>
    <row r="52" spans="1:11" s="311" customFormat="1" ht="30" customHeight="1" x14ac:dyDescent="0.2">
      <c r="A52" s="299" t="s">
        <v>801</v>
      </c>
      <c r="B52" s="310" t="s">
        <v>23</v>
      </c>
      <c r="C52" s="299" t="s">
        <v>61</v>
      </c>
      <c r="D52" s="301" t="s">
        <v>176</v>
      </c>
      <c r="E52" s="301" t="s">
        <v>310</v>
      </c>
      <c r="F52" s="302" t="s">
        <v>802</v>
      </c>
      <c r="G52" s="303">
        <v>41329</v>
      </c>
      <c r="H52" s="304" t="s">
        <v>975</v>
      </c>
      <c r="I52" s="315" t="s">
        <v>729</v>
      </c>
      <c r="J52" s="307">
        <v>40599</v>
      </c>
      <c r="K52" s="299" t="s">
        <v>179</v>
      </c>
    </row>
    <row r="53" spans="1:11" s="311" customFormat="1" ht="30" customHeight="1" x14ac:dyDescent="0.2">
      <c r="A53" s="299" t="s">
        <v>817</v>
      </c>
      <c r="B53" s="299" t="s">
        <v>23</v>
      </c>
      <c r="C53" s="299" t="s">
        <v>56</v>
      </c>
      <c r="D53" s="301" t="s">
        <v>198</v>
      </c>
      <c r="E53" s="301" t="s">
        <v>818</v>
      </c>
      <c r="F53" s="302">
        <v>2601.12</v>
      </c>
      <c r="G53" s="303">
        <v>41333</v>
      </c>
      <c r="H53" s="304" t="s">
        <v>976</v>
      </c>
      <c r="I53" s="315" t="s">
        <v>735</v>
      </c>
      <c r="J53" s="307">
        <v>40603</v>
      </c>
      <c r="K53" s="299" t="s">
        <v>201</v>
      </c>
    </row>
    <row r="54" spans="1:11" s="311" customFormat="1" ht="30" customHeight="1" x14ac:dyDescent="0.2">
      <c r="A54" s="299" t="s">
        <v>511</v>
      </c>
      <c r="B54" s="299" t="s">
        <v>23</v>
      </c>
      <c r="C54" s="299" t="s">
        <v>56</v>
      </c>
      <c r="D54" s="301" t="s">
        <v>207</v>
      </c>
      <c r="E54" s="301" t="s">
        <v>208</v>
      </c>
      <c r="F54" s="302" t="s">
        <v>453</v>
      </c>
      <c r="G54" s="303">
        <v>41349</v>
      </c>
      <c r="H54" s="304" t="s">
        <v>965</v>
      </c>
      <c r="I54" s="315" t="s">
        <v>737</v>
      </c>
      <c r="J54" s="307">
        <v>39889</v>
      </c>
      <c r="K54" s="299" t="s">
        <v>48</v>
      </c>
    </row>
    <row r="55" spans="1:11" s="311" customFormat="1" ht="30" customHeight="1" x14ac:dyDescent="0.2">
      <c r="A55" s="299" t="s">
        <v>894</v>
      </c>
      <c r="B55" s="299" t="s">
        <v>23</v>
      </c>
      <c r="C55" s="299" t="s">
        <v>56</v>
      </c>
      <c r="D55" s="301" t="s">
        <v>979</v>
      </c>
      <c r="E55" s="301" t="s">
        <v>896</v>
      </c>
      <c r="F55" s="302" t="s">
        <v>1021</v>
      </c>
      <c r="G55" s="303">
        <v>41362</v>
      </c>
      <c r="H55" s="351" t="s">
        <v>980</v>
      </c>
      <c r="I55" s="310" t="s">
        <v>981</v>
      </c>
      <c r="J55" s="307">
        <v>40816</v>
      </c>
      <c r="K55" s="299" t="s">
        <v>48</v>
      </c>
    </row>
    <row r="56" spans="1:11" s="311" customFormat="1" ht="30" customHeight="1" x14ac:dyDescent="0.2">
      <c r="A56" s="326"/>
      <c r="B56" s="300" t="s">
        <v>23</v>
      </c>
      <c r="C56" s="299" t="s">
        <v>24</v>
      </c>
      <c r="D56" s="301" t="s">
        <v>303</v>
      </c>
      <c r="E56" s="349" t="s">
        <v>971</v>
      </c>
      <c r="F56" s="302" t="s">
        <v>972</v>
      </c>
      <c r="G56" s="303">
        <v>41613</v>
      </c>
      <c r="H56" s="304" t="s">
        <v>970</v>
      </c>
      <c r="I56" s="315" t="s">
        <v>727</v>
      </c>
      <c r="J56" s="307"/>
      <c r="K56" s="326"/>
    </row>
    <row r="57" spans="1:11" s="311" customFormat="1" ht="30" customHeight="1" x14ac:dyDescent="0.2">
      <c r="A57" s="299" t="s">
        <v>164</v>
      </c>
      <c r="B57" s="300"/>
      <c r="C57" s="299"/>
      <c r="D57" s="301" t="s">
        <v>303</v>
      </c>
      <c r="E57" s="301" t="s">
        <v>167</v>
      </c>
      <c r="F57" s="302">
        <v>35559.599999999999</v>
      </c>
      <c r="G57" s="303"/>
      <c r="H57" s="358" t="s">
        <v>1013</v>
      </c>
      <c r="I57" s="315"/>
      <c r="J57" s="307"/>
      <c r="K57" s="326"/>
    </row>
    <row r="58" spans="1:11" s="311" customFormat="1" ht="30" customHeight="1" x14ac:dyDescent="0.2">
      <c r="A58" s="299" t="s">
        <v>855</v>
      </c>
      <c r="B58" s="299" t="s">
        <v>667</v>
      </c>
      <c r="C58" s="299" t="s">
        <v>772</v>
      </c>
      <c r="D58" s="301" t="s">
        <v>856</v>
      </c>
      <c r="E58" s="301" t="s">
        <v>857</v>
      </c>
      <c r="F58" s="302" t="s">
        <v>859</v>
      </c>
      <c r="G58" s="303">
        <v>41614</v>
      </c>
      <c r="H58" s="310" t="s">
        <v>860</v>
      </c>
      <c r="I58" s="310" t="s">
        <v>861</v>
      </c>
      <c r="J58" s="325">
        <v>40701</v>
      </c>
      <c r="K58" s="299" t="s">
        <v>48</v>
      </c>
    </row>
    <row r="59" spans="1:11" s="311" customFormat="1" ht="30" customHeight="1" x14ac:dyDescent="0.2">
      <c r="A59" s="326" t="s">
        <v>23</v>
      </c>
      <c r="B59" s="300" t="s">
        <v>23</v>
      </c>
      <c r="C59" s="299" t="s">
        <v>372</v>
      </c>
      <c r="D59" s="301" t="s">
        <v>989</v>
      </c>
      <c r="E59" s="349" t="s">
        <v>968</v>
      </c>
      <c r="F59" s="302" t="s">
        <v>972</v>
      </c>
      <c r="G59" s="303" t="s">
        <v>233</v>
      </c>
      <c r="H59" s="304" t="s">
        <v>969</v>
      </c>
      <c r="I59" s="362"/>
      <c r="J59" s="307">
        <v>36819</v>
      </c>
      <c r="K59" s="326" t="s">
        <v>54</v>
      </c>
    </row>
    <row r="60" spans="1:11" s="1" customFormat="1" ht="20.100000000000001" customHeight="1" x14ac:dyDescent="0.2">
      <c r="A60" s="52"/>
      <c r="B60" s="52"/>
      <c r="C60" s="52"/>
      <c r="D60" s="53" t="s">
        <v>236</v>
      </c>
      <c r="E60" s="54" t="s">
        <v>239</v>
      </c>
      <c r="F60" s="2"/>
      <c r="G60" s="74"/>
      <c r="H60" s="2"/>
      <c r="I60" s="6"/>
    </row>
    <row r="61" spans="1:11" s="1" customFormat="1" ht="20.100000000000001" customHeight="1" x14ac:dyDescent="0.2">
      <c r="A61" s="52"/>
      <c r="B61" s="52"/>
      <c r="C61" s="52"/>
      <c r="D61" s="53" t="s">
        <v>237</v>
      </c>
      <c r="E61" s="253" t="s">
        <v>388</v>
      </c>
      <c r="F61" s="2"/>
      <c r="G61" s="74"/>
      <c r="H61" s="2"/>
      <c r="I61" s="6"/>
    </row>
    <row r="62" spans="1:11" s="1" customFormat="1" ht="20.100000000000001" customHeight="1" x14ac:dyDescent="0.2">
      <c r="D62" s="53" t="s">
        <v>238</v>
      </c>
      <c r="E62" s="253" t="s">
        <v>389</v>
      </c>
      <c r="F62" s="2"/>
      <c r="G62" s="55"/>
      <c r="H62" s="2"/>
      <c r="I62" s="6"/>
    </row>
    <row r="63" spans="1:11" s="1" customFormat="1" ht="20.100000000000001" customHeight="1" x14ac:dyDescent="0.2">
      <c r="D63" s="1" t="s">
        <v>699</v>
      </c>
      <c r="E63" s="253" t="s">
        <v>390</v>
      </c>
      <c r="F63" s="2"/>
      <c r="G63" s="55"/>
      <c r="H63" s="2"/>
      <c r="I63" s="6"/>
    </row>
    <row r="64" spans="1:11" s="1" customFormat="1" ht="20.100000000000001" customHeight="1" x14ac:dyDescent="0.2">
      <c r="E64" s="253" t="s">
        <v>702</v>
      </c>
      <c r="F64" s="2"/>
      <c r="G64" s="55"/>
      <c r="H64" s="2"/>
      <c r="I64" s="6"/>
    </row>
    <row r="65" spans="5:9" s="1" customFormat="1" ht="20.100000000000001" customHeight="1" x14ac:dyDescent="0.2">
      <c r="E65" s="253" t="s">
        <v>858</v>
      </c>
      <c r="F65" s="2"/>
      <c r="G65" s="55"/>
      <c r="H65" s="2"/>
      <c r="I65" s="6"/>
    </row>
    <row r="66" spans="5:9" ht="16.5" customHeight="1" x14ac:dyDescent="0.2">
      <c r="E66" s="54" t="s">
        <v>938</v>
      </c>
    </row>
    <row r="67" spans="5:9" ht="15" customHeight="1" x14ac:dyDescent="0.2">
      <c r="E67" s="253" t="s">
        <v>990</v>
      </c>
    </row>
  </sheetData>
  <sheetProtection password="EA2D" sheet="1"/>
  <mergeCells count="12">
    <mergeCell ref="A9:A10"/>
    <mergeCell ref="B9:B10"/>
    <mergeCell ref="C9:C10"/>
    <mergeCell ref="D9:D10"/>
    <mergeCell ref="E9:E10"/>
    <mergeCell ref="K9:K10"/>
    <mergeCell ref="F9:F10"/>
    <mergeCell ref="G9:G10"/>
    <mergeCell ref="H9:H10"/>
    <mergeCell ref="I9:I10"/>
    <mergeCell ref="J6:K6"/>
    <mergeCell ref="J7:K7"/>
  </mergeCells>
  <pageMargins left="0.51181102362204722" right="0.51181102362204722" top="0.39370078740157483" bottom="0.39370078740157483" header="0.31496062992125984" footer="0.31496062992125984"/>
  <pageSetup paperSize="9" scale="75" orientation="landscape" r:id="rId1"/>
  <headerFooter>
    <oddFooter>Página &amp;P de &amp;N</oddFooter>
  </headerFooter>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AK83"/>
  <sheetViews>
    <sheetView zoomScaleNormal="118" workbookViewId="0">
      <selection activeCell="A33" sqref="A33"/>
    </sheetView>
  </sheetViews>
  <sheetFormatPr defaultColWidth="7.42578125" defaultRowHeight="20.100000000000001" customHeight="1" x14ac:dyDescent="0.2"/>
  <cols>
    <col min="1" max="1" width="11.42578125" style="1" customWidth="1"/>
    <col min="2" max="3" width="13.28515625" style="1" customWidth="1"/>
    <col min="4" max="4" width="51.85546875" style="1" bestFit="1" customWidth="1"/>
    <col min="5" max="5" width="75.5703125" style="1" bestFit="1" customWidth="1"/>
    <col min="6" max="6" width="11.5703125" style="6" customWidth="1"/>
    <col min="7" max="7" width="21.28515625" style="2" customWidth="1"/>
    <col min="8" max="16" width="12" style="2" hidden="1" customWidth="1"/>
    <col min="17" max="18" width="13.28515625" style="2" hidden="1" customWidth="1"/>
    <col min="19" max="19" width="13.7109375" style="2" hidden="1" customWidth="1"/>
    <col min="20" max="20" width="18.5703125" style="2" customWidth="1"/>
    <col min="21" max="21" width="12.5703125" style="55" customWidth="1"/>
    <col min="22" max="22" width="35.5703125" style="2" customWidth="1"/>
    <col min="23" max="23" width="17.5703125" style="6" hidden="1" customWidth="1"/>
    <col min="24" max="24" width="3.42578125" style="1" hidden="1" customWidth="1"/>
    <col min="25" max="25" width="3.7109375" style="1" hidden="1" customWidth="1"/>
    <col min="26" max="26" width="5.140625" style="1" hidden="1" customWidth="1"/>
    <col min="27" max="27" width="4.5703125" style="1" hidden="1" customWidth="1"/>
    <col min="28" max="28" width="6" style="1" hidden="1" customWidth="1"/>
    <col min="29" max="29" width="10.140625" style="55" hidden="1" customWidth="1"/>
    <col min="30" max="30" width="11.28515625" style="1" hidden="1" customWidth="1"/>
    <col min="31" max="31" width="15" style="1" hidden="1" customWidth="1"/>
    <col min="32" max="32" width="9.28515625" style="1" hidden="1" customWidth="1"/>
    <col min="33" max="16384" width="7.42578125" style="1"/>
  </cols>
  <sheetData>
    <row r="7" spans="1:32" ht="20.100000000000001" customHeight="1" thickBot="1" x14ac:dyDescent="0.3">
      <c r="A7" s="971" t="s">
        <v>1029</v>
      </c>
      <c r="B7" s="971"/>
      <c r="C7" s="971"/>
      <c r="D7" s="971"/>
      <c r="E7" s="971"/>
      <c r="F7" s="971"/>
      <c r="G7" s="971"/>
      <c r="H7" s="971"/>
      <c r="I7" s="971"/>
      <c r="J7" s="971"/>
      <c r="K7" s="971"/>
      <c r="L7" s="971"/>
      <c r="M7" s="971"/>
      <c r="N7" s="971"/>
      <c r="O7" s="971"/>
      <c r="P7" s="971"/>
      <c r="Q7" s="971"/>
      <c r="R7" s="971"/>
      <c r="S7" s="971"/>
      <c r="T7" s="971"/>
      <c r="U7" s="971"/>
      <c r="V7" s="971"/>
      <c r="W7" s="972"/>
      <c r="X7" s="972"/>
      <c r="Y7" s="972"/>
      <c r="Z7" s="972"/>
      <c r="AA7" s="972"/>
      <c r="AB7" s="972"/>
      <c r="AC7" s="972"/>
      <c r="AD7" s="972"/>
      <c r="AE7" s="972"/>
      <c r="AF7" s="972"/>
    </row>
    <row r="8" spans="1:32" ht="20.100000000000001" customHeight="1" thickTop="1" thickBot="1" x14ac:dyDescent="0.3">
      <c r="A8" s="258"/>
      <c r="B8" s="258"/>
      <c r="C8" s="258"/>
      <c r="D8" s="258"/>
      <c r="E8" s="258"/>
      <c r="F8" s="258"/>
      <c r="G8" s="259"/>
      <c r="H8" s="1"/>
      <c r="I8" s="1"/>
      <c r="J8" s="1"/>
      <c r="K8" s="1"/>
      <c r="L8" s="1"/>
      <c r="M8" s="1"/>
      <c r="N8" s="1"/>
      <c r="O8" s="1"/>
      <c r="P8" s="1"/>
      <c r="Q8" s="1"/>
      <c r="R8" s="1"/>
      <c r="S8" s="1"/>
      <c r="T8" s="1"/>
      <c r="U8" s="258"/>
      <c r="V8" s="402" t="s">
        <v>1030</v>
      </c>
      <c r="W8" s="258"/>
      <c r="X8" s="258"/>
      <c r="Y8" s="258"/>
      <c r="Z8" s="258"/>
      <c r="AA8" s="258"/>
      <c r="AB8" s="258"/>
      <c r="AC8" s="259"/>
      <c r="AD8" s="258"/>
      <c r="AE8" s="259">
        <v>40908</v>
      </c>
      <c r="AF8" s="258"/>
    </row>
    <row r="9" spans="1:32" s="265" customFormat="1" ht="30" customHeight="1" thickTop="1" thickBot="1" x14ac:dyDescent="0.25">
      <c r="A9" s="956" t="s">
        <v>2</v>
      </c>
      <c r="B9" s="958" t="s">
        <v>3</v>
      </c>
      <c r="C9" s="958" t="s">
        <v>4</v>
      </c>
      <c r="D9" s="960" t="s">
        <v>5</v>
      </c>
      <c r="E9" s="960" t="s">
        <v>6</v>
      </c>
      <c r="F9" s="385" t="s">
        <v>991</v>
      </c>
      <c r="G9" s="960" t="s">
        <v>7</v>
      </c>
      <c r="H9" s="404" t="s">
        <v>1028</v>
      </c>
      <c r="I9" s="404"/>
      <c r="J9" s="404"/>
      <c r="K9" s="404"/>
      <c r="L9" s="404"/>
      <c r="M9" s="404"/>
      <c r="N9" s="404"/>
      <c r="O9" s="404"/>
      <c r="P9" s="404"/>
      <c r="Q9" s="404"/>
      <c r="R9" s="404"/>
      <c r="S9" s="404"/>
      <c r="T9" s="405" t="s">
        <v>1027</v>
      </c>
      <c r="U9" s="962" t="s">
        <v>8</v>
      </c>
      <c r="V9" s="974" t="s">
        <v>9</v>
      </c>
      <c r="W9" s="975" t="s">
        <v>10</v>
      </c>
      <c r="X9" s="964" t="s">
        <v>11</v>
      </c>
      <c r="Y9" s="964"/>
      <c r="Z9" s="964"/>
      <c r="AA9" s="964"/>
      <c r="AB9" s="964"/>
      <c r="AC9" s="962" t="s">
        <v>835</v>
      </c>
      <c r="AD9" s="263" t="s">
        <v>892</v>
      </c>
      <c r="AE9" s="264" t="s">
        <v>820</v>
      </c>
      <c r="AF9" s="965" t="s">
        <v>15</v>
      </c>
    </row>
    <row r="10" spans="1:32" s="265" customFormat="1" ht="30" customHeight="1" thickTop="1" thickBot="1" x14ac:dyDescent="0.25">
      <c r="A10" s="956"/>
      <c r="B10" s="973"/>
      <c r="C10" s="973"/>
      <c r="D10" s="960"/>
      <c r="E10" s="960"/>
      <c r="F10" s="406" t="s">
        <v>1003</v>
      </c>
      <c r="G10" s="960"/>
      <c r="H10" s="407"/>
      <c r="I10" s="407"/>
      <c r="J10" s="407"/>
      <c r="K10" s="407"/>
      <c r="L10" s="407"/>
      <c r="M10" s="407"/>
      <c r="N10" s="407"/>
      <c r="O10" s="407"/>
      <c r="P10" s="407"/>
      <c r="Q10" s="407"/>
      <c r="R10" s="407"/>
      <c r="S10" s="407"/>
      <c r="T10" s="408" t="s">
        <v>1028</v>
      </c>
      <c r="U10" s="962"/>
      <c r="V10" s="974"/>
      <c r="W10" s="976"/>
      <c r="X10" s="267" t="s">
        <v>16</v>
      </c>
      <c r="Y10" s="267" t="s">
        <v>17</v>
      </c>
      <c r="Z10" s="267" t="s">
        <v>18</v>
      </c>
      <c r="AA10" s="267" t="s">
        <v>19</v>
      </c>
      <c r="AB10" s="267" t="s">
        <v>20</v>
      </c>
      <c r="AC10" s="963"/>
      <c r="AD10" s="268" t="s">
        <v>893</v>
      </c>
      <c r="AE10" s="269" t="s">
        <v>244</v>
      </c>
      <c r="AF10" s="966"/>
    </row>
    <row r="11" spans="1:32" s="279" customFormat="1" ht="30" hidden="1" customHeight="1" thickBot="1" x14ac:dyDescent="0.25">
      <c r="A11" s="429" t="s">
        <v>77</v>
      </c>
      <c r="B11" s="403" t="s">
        <v>23</v>
      </c>
      <c r="C11" s="280" t="s">
        <v>24</v>
      </c>
      <c r="D11" s="281" t="s">
        <v>810</v>
      </c>
      <c r="E11" s="281" t="s">
        <v>79</v>
      </c>
      <c r="F11" s="388">
        <v>70800</v>
      </c>
      <c r="G11" s="282" t="s">
        <v>80</v>
      </c>
      <c r="H11" s="283">
        <v>474.9</v>
      </c>
      <c r="I11" s="283">
        <v>529.9</v>
      </c>
      <c r="J11" s="283">
        <v>601</v>
      </c>
      <c r="K11" s="283">
        <v>385.2</v>
      </c>
      <c r="L11" s="283">
        <v>0</v>
      </c>
      <c r="M11" s="283">
        <v>0</v>
      </c>
      <c r="N11" s="283">
        <v>0</v>
      </c>
      <c r="O11" s="283">
        <v>0</v>
      </c>
      <c r="P11" s="283">
        <v>0</v>
      </c>
      <c r="Q11" s="283">
        <v>0</v>
      </c>
      <c r="R11" s="283">
        <v>0</v>
      </c>
      <c r="S11" s="283">
        <v>0</v>
      </c>
      <c r="T11" s="283">
        <f t="shared" ref="T11:T35" si="0">SUM(H11:S11)</f>
        <v>1991</v>
      </c>
      <c r="U11" s="285">
        <v>39265</v>
      </c>
      <c r="V11" s="430" t="s">
        <v>945</v>
      </c>
      <c r="W11" s="421"/>
      <c r="X11" s="276"/>
      <c r="Y11" s="276"/>
      <c r="Z11" s="276"/>
      <c r="AA11" s="276"/>
      <c r="AB11" s="276"/>
      <c r="AC11" s="277"/>
      <c r="AD11" s="394">
        <v>38901</v>
      </c>
      <c r="AE11" s="278">
        <f ca="1">TODAY()-DATE(YEAR(AD11)+6,MONTH(AD11),DAY(AD11))</f>
        <v>3289</v>
      </c>
      <c r="AF11" s="270" t="s">
        <v>34</v>
      </c>
    </row>
    <row r="12" spans="1:32" s="279" customFormat="1" ht="30" hidden="1" customHeight="1" thickBot="1" x14ac:dyDescent="0.25">
      <c r="A12" s="429" t="s">
        <v>839</v>
      </c>
      <c r="B12" s="286" t="s">
        <v>23</v>
      </c>
      <c r="C12" s="280" t="s">
        <v>24</v>
      </c>
      <c r="D12" s="281" t="s">
        <v>260</v>
      </c>
      <c r="E12" s="281" t="s">
        <v>26</v>
      </c>
      <c r="F12" s="388" t="s">
        <v>354</v>
      </c>
      <c r="G12" s="282" t="s">
        <v>354</v>
      </c>
      <c r="H12" s="283">
        <v>3155</v>
      </c>
      <c r="I12" s="283">
        <v>2278.25</v>
      </c>
      <c r="J12" s="283">
        <v>3525.74</v>
      </c>
      <c r="K12" s="283">
        <v>1909.18</v>
      </c>
      <c r="L12" s="283">
        <v>2957.24</v>
      </c>
      <c r="M12" s="283">
        <v>2353.46</v>
      </c>
      <c r="N12" s="283">
        <v>2762.96</v>
      </c>
      <c r="O12" s="283">
        <v>2645.92</v>
      </c>
      <c r="P12" s="283">
        <v>3198.14</v>
      </c>
      <c r="Q12" s="283">
        <v>2592.15</v>
      </c>
      <c r="R12" s="283">
        <v>2710.29</v>
      </c>
      <c r="S12" s="283">
        <v>3259.82</v>
      </c>
      <c r="T12" s="284">
        <f t="shared" si="0"/>
        <v>33348.15</v>
      </c>
      <c r="U12" s="285">
        <v>39946</v>
      </c>
      <c r="V12" s="430" t="s">
        <v>804</v>
      </c>
      <c r="W12" s="279" t="s">
        <v>841</v>
      </c>
      <c r="X12" s="287"/>
      <c r="Y12" s="287"/>
      <c r="Z12" s="287"/>
      <c r="AA12" s="287"/>
      <c r="AB12" s="287"/>
      <c r="AC12" s="288">
        <v>39916</v>
      </c>
      <c r="AD12" s="289">
        <v>39576</v>
      </c>
      <c r="AE12" s="278">
        <f ca="1">TODAY()-DATE(YEAR(AD12)+6,MONTH(AD12),DAY(AD12))</f>
        <v>2615</v>
      </c>
      <c r="AF12" s="280" t="s">
        <v>29</v>
      </c>
    </row>
    <row r="13" spans="1:32" s="279" customFormat="1" ht="30" hidden="1" customHeight="1" thickBot="1" x14ac:dyDescent="0.25">
      <c r="A13" s="429" t="s">
        <v>636</v>
      </c>
      <c r="B13" s="280" t="s">
        <v>507</v>
      </c>
      <c r="C13" s="280" t="s">
        <v>772</v>
      </c>
      <c r="D13" s="290" t="s">
        <v>637</v>
      </c>
      <c r="E13" s="290" t="s">
        <v>638</v>
      </c>
      <c r="F13" s="388">
        <v>26882.400000000001</v>
      </c>
      <c r="G13" s="291">
        <v>26882.400000000001</v>
      </c>
      <c r="H13" s="292">
        <v>2289.5700000000002</v>
      </c>
      <c r="I13" s="292">
        <v>2240.1999999999998</v>
      </c>
      <c r="J13" s="292">
        <v>2240.1999999999998</v>
      </c>
      <c r="K13" s="292">
        <v>2240.1999999999998</v>
      </c>
      <c r="L13" s="292">
        <v>2240.1999999999998</v>
      </c>
      <c r="M13" s="292">
        <v>2240.1999999999998</v>
      </c>
      <c r="N13" s="292">
        <v>2240.1999999999998</v>
      </c>
      <c r="O13" s="292">
        <v>2285.7600000000002</v>
      </c>
      <c r="P13" s="292">
        <v>2240.1999999999998</v>
      </c>
      <c r="Q13" s="292">
        <v>2240.1999999999998</v>
      </c>
      <c r="R13" s="292">
        <v>2240.1999999999998</v>
      </c>
      <c r="S13" s="292">
        <v>2240.1999999999998</v>
      </c>
      <c r="T13" s="284">
        <f t="shared" si="0"/>
        <v>26977.33</v>
      </c>
      <c r="U13" s="285">
        <v>40533</v>
      </c>
      <c r="V13" s="430" t="s">
        <v>804</v>
      </c>
      <c r="W13" s="298" t="s">
        <v>725</v>
      </c>
      <c r="X13" s="287"/>
      <c r="Y13" s="287"/>
      <c r="Z13" s="287"/>
      <c r="AA13" s="287"/>
      <c r="AB13" s="287"/>
      <c r="AC13" s="285">
        <v>40504</v>
      </c>
      <c r="AD13" s="294">
        <v>40169</v>
      </c>
      <c r="AE13" s="278">
        <f ca="1">TODAY()-DATE(YEAR(AD13)+6,MONTH(AD13),DAY(AD13))</f>
        <v>2022</v>
      </c>
      <c r="AF13" s="280" t="s">
        <v>41</v>
      </c>
    </row>
    <row r="14" spans="1:32" s="279" customFormat="1" ht="30" hidden="1" customHeight="1" thickBot="1" x14ac:dyDescent="0.25">
      <c r="A14" s="431" t="s">
        <v>318</v>
      </c>
      <c r="B14" s="299" t="s">
        <v>23</v>
      </c>
      <c r="C14" s="299" t="s">
        <v>56</v>
      </c>
      <c r="D14" s="301" t="s">
        <v>83</v>
      </c>
      <c r="E14" s="301" t="s">
        <v>319</v>
      </c>
      <c r="F14" s="387">
        <v>7200</v>
      </c>
      <c r="G14" s="302" t="s">
        <v>453</v>
      </c>
      <c r="H14" s="284">
        <v>0</v>
      </c>
      <c r="I14" s="284">
        <v>0</v>
      </c>
      <c r="J14" s="284">
        <v>0</v>
      </c>
      <c r="K14" s="284">
        <v>0</v>
      </c>
      <c r="L14" s="284">
        <v>0</v>
      </c>
      <c r="M14" s="284">
        <v>0</v>
      </c>
      <c r="N14" s="284">
        <v>0</v>
      </c>
      <c r="O14" s="284">
        <v>0</v>
      </c>
      <c r="P14" s="284">
        <v>0</v>
      </c>
      <c r="Q14" s="284">
        <v>0</v>
      </c>
      <c r="R14" s="284">
        <v>0</v>
      </c>
      <c r="S14" s="284">
        <v>0</v>
      </c>
      <c r="T14" s="284">
        <f t="shared" si="0"/>
        <v>0</v>
      </c>
      <c r="U14" s="303">
        <v>40544</v>
      </c>
      <c r="V14" s="432" t="s">
        <v>1002</v>
      </c>
      <c r="W14" s="422" t="s">
        <v>730</v>
      </c>
      <c r="X14" s="305"/>
      <c r="Y14" s="305"/>
      <c r="Z14" s="305"/>
      <c r="AA14" s="305"/>
      <c r="AB14" s="305"/>
      <c r="AC14" s="306">
        <v>40879</v>
      </c>
      <c r="AD14" s="307">
        <v>39480</v>
      </c>
      <c r="AE14" s="278">
        <f ca="1">TODAY()-DATE(YEAR(AD14)+6,MONTH(AD14),DAY(AD14))</f>
        <v>2710</v>
      </c>
      <c r="AF14" s="299" t="s">
        <v>48</v>
      </c>
    </row>
    <row r="15" spans="1:32" s="279" customFormat="1" ht="30" hidden="1" customHeight="1" thickBot="1" x14ac:dyDescent="0.25">
      <c r="A15" s="429" t="s">
        <v>797</v>
      </c>
      <c r="B15" s="286" t="s">
        <v>23</v>
      </c>
      <c r="C15" s="280" t="s">
        <v>56</v>
      </c>
      <c r="D15" s="281" t="s">
        <v>186</v>
      </c>
      <c r="E15" s="281" t="s">
        <v>798</v>
      </c>
      <c r="F15" s="392" t="s">
        <v>1019</v>
      </c>
      <c r="G15" s="282">
        <v>14600</v>
      </c>
      <c r="H15" s="283">
        <v>0</v>
      </c>
      <c r="I15" s="283">
        <v>14600</v>
      </c>
      <c r="J15" s="283">
        <v>0</v>
      </c>
      <c r="K15" s="283">
        <v>0</v>
      </c>
      <c r="L15" s="283">
        <v>0</v>
      </c>
      <c r="M15" s="283">
        <v>0</v>
      </c>
      <c r="N15" s="283">
        <v>0</v>
      </c>
      <c r="O15" s="283">
        <v>0</v>
      </c>
      <c r="P15" s="283">
        <v>0</v>
      </c>
      <c r="Q15" s="283">
        <v>0</v>
      </c>
      <c r="R15" s="283">
        <v>0</v>
      </c>
      <c r="S15" s="283">
        <v>0</v>
      </c>
      <c r="T15" s="284">
        <f t="shared" si="0"/>
        <v>14600</v>
      </c>
      <c r="U15" s="285">
        <v>40584</v>
      </c>
      <c r="V15" s="433" t="s">
        <v>814</v>
      </c>
      <c r="W15" s="298" t="s">
        <v>731</v>
      </c>
      <c r="X15" s="287"/>
      <c r="Y15" s="287"/>
      <c r="Z15" s="287"/>
      <c r="AA15" s="287"/>
      <c r="AB15" s="287"/>
      <c r="AC15" s="320"/>
      <c r="AD15" s="289">
        <v>40569</v>
      </c>
      <c r="AE15" s="297"/>
      <c r="AF15" s="280" t="s">
        <v>169</v>
      </c>
    </row>
    <row r="16" spans="1:32" s="279" customFormat="1" ht="30" hidden="1" customHeight="1" thickBot="1" x14ac:dyDescent="0.25">
      <c r="A16" s="429" t="s">
        <v>197</v>
      </c>
      <c r="B16" s="286" t="s">
        <v>23</v>
      </c>
      <c r="C16" s="280" t="s">
        <v>56</v>
      </c>
      <c r="D16" s="281" t="s">
        <v>198</v>
      </c>
      <c r="E16" s="281" t="s">
        <v>818</v>
      </c>
      <c r="F16" s="392" t="s">
        <v>1019</v>
      </c>
      <c r="G16" s="282">
        <v>2601.12</v>
      </c>
      <c r="H16" s="283">
        <v>216.76</v>
      </c>
      <c r="I16" s="283">
        <v>216.76</v>
      </c>
      <c r="J16" s="283">
        <v>216.76</v>
      </c>
      <c r="K16" s="283">
        <v>0</v>
      </c>
      <c r="L16" s="283">
        <v>0</v>
      </c>
      <c r="M16" s="283">
        <v>0</v>
      </c>
      <c r="N16" s="283">
        <v>0</v>
      </c>
      <c r="O16" s="283">
        <v>0</v>
      </c>
      <c r="P16" s="283">
        <v>0</v>
      </c>
      <c r="Q16" s="283">
        <v>0</v>
      </c>
      <c r="R16" s="283">
        <v>0</v>
      </c>
      <c r="S16" s="283">
        <v>0</v>
      </c>
      <c r="T16" s="284">
        <f t="shared" si="0"/>
        <v>650.28</v>
      </c>
      <c r="U16" s="285">
        <v>40602</v>
      </c>
      <c r="V16" s="433" t="s">
        <v>816</v>
      </c>
      <c r="W16" s="298" t="s">
        <v>735</v>
      </c>
      <c r="X16" s="287"/>
      <c r="Y16" s="287"/>
      <c r="Z16" s="287"/>
      <c r="AA16" s="287"/>
      <c r="AB16" s="287"/>
      <c r="AC16" s="289">
        <v>40512</v>
      </c>
      <c r="AD16" s="289">
        <v>38412</v>
      </c>
      <c r="AE16" s="297"/>
      <c r="AF16" s="280" t="s">
        <v>201</v>
      </c>
    </row>
    <row r="17" spans="1:32" s="279" customFormat="1" ht="30" hidden="1" customHeight="1" thickBot="1" x14ac:dyDescent="0.25">
      <c r="A17" s="429" t="s">
        <v>792</v>
      </c>
      <c r="B17" s="280" t="s">
        <v>793</v>
      </c>
      <c r="C17" s="280" t="s">
        <v>37</v>
      </c>
      <c r="D17" s="281" t="s">
        <v>794</v>
      </c>
      <c r="E17" s="281" t="s">
        <v>795</v>
      </c>
      <c r="F17" s="392" t="s">
        <v>1019</v>
      </c>
      <c r="G17" s="282">
        <v>75000</v>
      </c>
      <c r="H17" s="283">
        <v>0</v>
      </c>
      <c r="I17" s="283">
        <v>75000</v>
      </c>
      <c r="J17" s="283">
        <v>0</v>
      </c>
      <c r="K17" s="283">
        <v>0</v>
      </c>
      <c r="L17" s="283">
        <v>0</v>
      </c>
      <c r="M17" s="283">
        <v>0</v>
      </c>
      <c r="N17" s="283">
        <v>0</v>
      </c>
      <c r="O17" s="283">
        <v>0</v>
      </c>
      <c r="P17" s="283">
        <v>0</v>
      </c>
      <c r="Q17" s="283">
        <v>0</v>
      </c>
      <c r="R17" s="283">
        <v>0</v>
      </c>
      <c r="S17" s="283">
        <v>0</v>
      </c>
      <c r="T17" s="284">
        <f t="shared" si="0"/>
        <v>75000</v>
      </c>
      <c r="U17" s="285">
        <v>40614</v>
      </c>
      <c r="V17" s="433" t="s">
        <v>815</v>
      </c>
      <c r="W17" s="298" t="s">
        <v>796</v>
      </c>
      <c r="X17" s="287"/>
      <c r="Y17" s="287"/>
      <c r="Z17" s="287"/>
      <c r="AA17" s="287"/>
      <c r="AB17" s="287"/>
      <c r="AC17" s="320"/>
      <c r="AD17" s="289">
        <v>40575</v>
      </c>
      <c r="AE17" s="297"/>
      <c r="AF17" s="391" t="s">
        <v>201</v>
      </c>
    </row>
    <row r="18" spans="1:32" s="279" customFormat="1" ht="30" hidden="1" customHeight="1" thickBot="1" x14ac:dyDescent="0.25">
      <c r="A18" s="429" t="s">
        <v>811</v>
      </c>
      <c r="B18" s="286" t="s">
        <v>23</v>
      </c>
      <c r="C18" s="280" t="s">
        <v>24</v>
      </c>
      <c r="D18" s="281" t="s">
        <v>812</v>
      </c>
      <c r="E18" s="281" t="s">
        <v>813</v>
      </c>
      <c r="F18" s="392" t="s">
        <v>1019</v>
      </c>
      <c r="G18" s="282" t="s">
        <v>834</v>
      </c>
      <c r="H18" s="283">
        <v>0</v>
      </c>
      <c r="I18" s="283">
        <v>0</v>
      </c>
      <c r="J18" s="283">
        <v>0</v>
      </c>
      <c r="K18" s="283">
        <v>63931.8</v>
      </c>
      <c r="L18" s="283">
        <v>0</v>
      </c>
      <c r="M18" s="283">
        <v>0</v>
      </c>
      <c r="N18" s="283">
        <v>0</v>
      </c>
      <c r="O18" s="283">
        <v>0</v>
      </c>
      <c r="P18" s="283">
        <v>0</v>
      </c>
      <c r="Q18" s="283">
        <v>0</v>
      </c>
      <c r="R18" s="283">
        <v>0</v>
      </c>
      <c r="S18" s="283">
        <v>0</v>
      </c>
      <c r="T18" s="284">
        <f t="shared" si="0"/>
        <v>63931.8</v>
      </c>
      <c r="U18" s="285">
        <v>40645</v>
      </c>
      <c r="V18" s="433" t="s">
        <v>836</v>
      </c>
      <c r="W18" s="298" t="s">
        <v>887</v>
      </c>
      <c r="X18" s="287"/>
      <c r="Y18" s="287"/>
      <c r="Z18" s="287"/>
      <c r="AA18" s="287"/>
      <c r="AB18" s="287"/>
      <c r="AC18" s="320"/>
      <c r="AD18" s="289">
        <v>40606</v>
      </c>
      <c r="AE18" s="297"/>
      <c r="AF18" s="280" t="s">
        <v>201</v>
      </c>
    </row>
    <row r="19" spans="1:32" s="308" customFormat="1" ht="30" hidden="1" customHeight="1" thickBot="1" x14ac:dyDescent="0.25">
      <c r="A19" s="431" t="s">
        <v>593</v>
      </c>
      <c r="B19" s="300" t="s">
        <v>23</v>
      </c>
      <c r="C19" s="299" t="s">
        <v>56</v>
      </c>
      <c r="D19" s="301" t="s">
        <v>594</v>
      </c>
      <c r="E19" s="301" t="s">
        <v>595</v>
      </c>
      <c r="F19" s="387">
        <v>7200</v>
      </c>
      <c r="G19" s="302">
        <v>7200</v>
      </c>
      <c r="H19" s="284">
        <v>600</v>
      </c>
      <c r="I19" s="284">
        <v>600</v>
      </c>
      <c r="J19" s="284">
        <v>600</v>
      </c>
      <c r="K19" s="284">
        <v>600</v>
      </c>
      <c r="L19" s="284">
        <v>600</v>
      </c>
      <c r="M19" s="284">
        <v>600</v>
      </c>
      <c r="N19" s="284">
        <v>600</v>
      </c>
      <c r="O19" s="284">
        <v>600</v>
      </c>
      <c r="P19" s="284">
        <v>600</v>
      </c>
      <c r="Q19" s="284">
        <v>600</v>
      </c>
      <c r="R19" s="284">
        <v>600</v>
      </c>
      <c r="S19" s="284">
        <v>600</v>
      </c>
      <c r="T19" s="284">
        <f t="shared" si="0"/>
        <v>7200</v>
      </c>
      <c r="U19" s="303">
        <v>40688</v>
      </c>
      <c r="V19" s="432" t="s">
        <v>694</v>
      </c>
      <c r="W19" s="298" t="s">
        <v>740</v>
      </c>
      <c r="X19" s="305"/>
      <c r="Y19" s="305"/>
      <c r="Z19" s="305"/>
      <c r="AA19" s="305"/>
      <c r="AB19" s="305"/>
      <c r="AC19" s="306">
        <v>40658</v>
      </c>
      <c r="AD19" s="307">
        <v>39959</v>
      </c>
      <c r="AE19" s="278">
        <f ca="1">TODAY()-DATE(YEAR(AD19)+6,MONTH(AD19),DAY(AD19))</f>
        <v>2232</v>
      </c>
      <c r="AF19" s="299" t="s">
        <v>41</v>
      </c>
    </row>
    <row r="20" spans="1:32" s="311" customFormat="1" ht="30" hidden="1" customHeight="1" thickBot="1" x14ac:dyDescent="0.25">
      <c r="A20" s="431" t="s">
        <v>781</v>
      </c>
      <c r="B20" s="299" t="s">
        <v>790</v>
      </c>
      <c r="C20" s="299" t="s">
        <v>37</v>
      </c>
      <c r="D20" s="301" t="s">
        <v>782</v>
      </c>
      <c r="E20" s="301" t="s">
        <v>783</v>
      </c>
      <c r="F20" s="299" t="s">
        <v>992</v>
      </c>
      <c r="G20" s="302" t="s">
        <v>784</v>
      </c>
      <c r="H20" s="284">
        <v>0</v>
      </c>
      <c r="I20" s="284">
        <v>23085</v>
      </c>
      <c r="J20" s="284">
        <v>0</v>
      </c>
      <c r="K20" s="284">
        <v>0</v>
      </c>
      <c r="L20" s="284">
        <v>0</v>
      </c>
      <c r="M20" s="284">
        <v>0</v>
      </c>
      <c r="N20" s="284">
        <v>0</v>
      </c>
      <c r="O20" s="284">
        <v>0</v>
      </c>
      <c r="P20" s="284">
        <v>0</v>
      </c>
      <c r="Q20" s="284">
        <v>0</v>
      </c>
      <c r="R20" s="284">
        <v>0</v>
      </c>
      <c r="S20" s="284">
        <v>30780</v>
      </c>
      <c r="T20" s="284">
        <f t="shared" si="0"/>
        <v>53865</v>
      </c>
      <c r="U20" s="309">
        <v>40741</v>
      </c>
      <c r="V20" s="432" t="s">
        <v>785</v>
      </c>
      <c r="W20" s="423" t="s">
        <v>789</v>
      </c>
      <c r="X20" s="305"/>
      <c r="Y20" s="305"/>
      <c r="Z20" s="305"/>
      <c r="AA20" s="305"/>
      <c r="AB20" s="305"/>
      <c r="AC20" s="306">
        <v>40711</v>
      </c>
      <c r="AD20" s="307">
        <v>40561</v>
      </c>
      <c r="AE20" s="278">
        <f ca="1">TODAY()-DATE(YEAR(AD20)+6,MONTH(AD20),DAY(AD20))</f>
        <v>1629</v>
      </c>
      <c r="AF20" s="299" t="s">
        <v>41</v>
      </c>
    </row>
    <row r="21" spans="1:32" s="311" customFormat="1" ht="30" hidden="1" customHeight="1" thickBot="1" x14ac:dyDescent="0.25">
      <c r="A21" s="431" t="s">
        <v>805</v>
      </c>
      <c r="B21" s="299" t="s">
        <v>23</v>
      </c>
      <c r="C21" s="299" t="s">
        <v>56</v>
      </c>
      <c r="D21" s="312" t="s">
        <v>806</v>
      </c>
      <c r="E21" s="312" t="s">
        <v>808</v>
      </c>
      <c r="F21" s="299"/>
      <c r="G21" s="313" t="s">
        <v>807</v>
      </c>
      <c r="H21" s="314">
        <v>1237.8</v>
      </c>
      <c r="I21" s="314">
        <v>1180</v>
      </c>
      <c r="J21" s="314">
        <v>1189.2</v>
      </c>
      <c r="K21" s="314">
        <v>1119.2</v>
      </c>
      <c r="L21" s="314">
        <v>1180</v>
      </c>
      <c r="M21" s="314">
        <v>1180</v>
      </c>
      <c r="N21" s="314">
        <v>1177</v>
      </c>
      <c r="O21" s="314">
        <v>1356.4</v>
      </c>
      <c r="P21" s="314">
        <v>0</v>
      </c>
      <c r="Q21" s="314">
        <v>0</v>
      </c>
      <c r="R21" s="314">
        <v>0</v>
      </c>
      <c r="S21" s="314">
        <v>0</v>
      </c>
      <c r="T21" s="284">
        <f t="shared" si="0"/>
        <v>9619.6</v>
      </c>
      <c r="U21" s="303">
        <v>40756</v>
      </c>
      <c r="V21" s="434" t="s">
        <v>906</v>
      </c>
      <c r="W21" s="422" t="s">
        <v>809</v>
      </c>
      <c r="X21" s="305"/>
      <c r="Y21" s="305"/>
      <c r="Z21" s="305"/>
      <c r="AA21" s="305"/>
      <c r="AB21" s="305"/>
      <c r="AC21" s="303">
        <v>40725</v>
      </c>
      <c r="AD21" s="316">
        <v>40576</v>
      </c>
      <c r="AE21" s="278"/>
      <c r="AF21" s="299" t="s">
        <v>48</v>
      </c>
    </row>
    <row r="22" spans="1:32" s="311" customFormat="1" ht="30" hidden="1" customHeight="1" thickBot="1" x14ac:dyDescent="0.25">
      <c r="A22" s="431" t="s">
        <v>882</v>
      </c>
      <c r="B22" s="299" t="s">
        <v>23</v>
      </c>
      <c r="C22" s="299" t="s">
        <v>56</v>
      </c>
      <c r="D22" s="400" t="s">
        <v>883</v>
      </c>
      <c r="E22" s="301" t="s">
        <v>884</v>
      </c>
      <c r="F22" s="305"/>
      <c r="G22" s="302" t="s">
        <v>885</v>
      </c>
      <c r="H22" s="284">
        <v>0</v>
      </c>
      <c r="I22" s="284">
        <v>0</v>
      </c>
      <c r="J22" s="284">
        <v>0</v>
      </c>
      <c r="K22" s="284">
        <v>0</v>
      </c>
      <c r="L22" s="284">
        <v>0</v>
      </c>
      <c r="M22" s="284">
        <v>0</v>
      </c>
      <c r="N22" s="284">
        <v>0</v>
      </c>
      <c r="O22" s="284">
        <v>0</v>
      </c>
      <c r="P22" s="284">
        <v>9500</v>
      </c>
      <c r="Q22" s="284">
        <v>0</v>
      </c>
      <c r="R22" s="284">
        <v>0</v>
      </c>
      <c r="S22" s="284">
        <v>0</v>
      </c>
      <c r="T22" s="284">
        <f t="shared" si="0"/>
        <v>9500</v>
      </c>
      <c r="U22" s="303">
        <v>40772</v>
      </c>
      <c r="V22" s="435" t="s">
        <v>886</v>
      </c>
      <c r="W22" s="424" t="s">
        <v>889</v>
      </c>
      <c r="X22" s="305"/>
      <c r="Y22" s="305"/>
      <c r="Z22" s="305"/>
      <c r="AA22" s="305"/>
      <c r="AB22" s="305"/>
      <c r="AC22" s="320"/>
      <c r="AD22" s="307">
        <v>40758</v>
      </c>
      <c r="AE22" s="278"/>
      <c r="AF22" s="299" t="s">
        <v>169</v>
      </c>
    </row>
    <row r="23" spans="1:32" s="311" customFormat="1" ht="30" hidden="1" customHeight="1" thickBot="1" x14ac:dyDescent="0.25">
      <c r="A23" s="431" t="s">
        <v>377</v>
      </c>
      <c r="B23" s="299" t="s">
        <v>378</v>
      </c>
      <c r="C23" s="299" t="s">
        <v>613</v>
      </c>
      <c r="D23" s="400" t="s">
        <v>379</v>
      </c>
      <c r="E23" s="301" t="s">
        <v>380</v>
      </c>
      <c r="F23" s="387"/>
      <c r="G23" s="302" t="s">
        <v>381</v>
      </c>
      <c r="H23" s="284">
        <v>0</v>
      </c>
      <c r="I23" s="284">
        <v>0</v>
      </c>
      <c r="J23" s="284">
        <v>0</v>
      </c>
      <c r="K23" s="284">
        <v>0</v>
      </c>
      <c r="L23" s="284">
        <v>0</v>
      </c>
      <c r="M23" s="284">
        <v>0</v>
      </c>
      <c r="N23" s="284">
        <v>0</v>
      </c>
      <c r="O23" s="284">
        <v>0</v>
      </c>
      <c r="P23" s="284">
        <v>0</v>
      </c>
      <c r="Q23" s="284">
        <v>0</v>
      </c>
      <c r="R23" s="284">
        <v>0</v>
      </c>
      <c r="S23" s="284">
        <v>0</v>
      </c>
      <c r="T23" s="284">
        <f t="shared" si="0"/>
        <v>0</v>
      </c>
      <c r="U23" s="309">
        <v>40774</v>
      </c>
      <c r="V23" s="432" t="s">
        <v>946</v>
      </c>
      <c r="W23" s="422" t="s">
        <v>745</v>
      </c>
      <c r="X23" s="305"/>
      <c r="Y23" s="305"/>
      <c r="Z23" s="305"/>
      <c r="AA23" s="305"/>
      <c r="AB23" s="305"/>
      <c r="AC23" s="306">
        <v>40743</v>
      </c>
      <c r="AD23" s="307">
        <v>39680</v>
      </c>
      <c r="AE23" s="278">
        <f ca="1">TODAY()-DATE(YEAR(AD23)+6,MONTH(AD23),DAY(AD23))</f>
        <v>2511</v>
      </c>
      <c r="AF23" s="326" t="s">
        <v>41</v>
      </c>
    </row>
    <row r="24" spans="1:32" s="311" customFormat="1" ht="30" hidden="1" customHeight="1" thickBot="1" x14ac:dyDescent="0.25">
      <c r="A24" s="431" t="s">
        <v>868</v>
      </c>
      <c r="B24" s="299" t="s">
        <v>23</v>
      </c>
      <c r="C24" s="299" t="s">
        <v>56</v>
      </c>
      <c r="D24" s="401" t="s">
        <v>869</v>
      </c>
      <c r="E24" s="340" t="s">
        <v>870</v>
      </c>
      <c r="F24" s="299"/>
      <c r="G24" s="365">
        <v>12000</v>
      </c>
      <c r="H24" s="284">
        <v>0</v>
      </c>
      <c r="I24" s="284">
        <v>0</v>
      </c>
      <c r="J24" s="284">
        <v>0</v>
      </c>
      <c r="K24" s="284">
        <v>0</v>
      </c>
      <c r="L24" s="284">
        <v>0</v>
      </c>
      <c r="M24" s="284">
        <v>0</v>
      </c>
      <c r="N24" s="284">
        <v>0</v>
      </c>
      <c r="O24" s="284">
        <v>0</v>
      </c>
      <c r="P24" s="284">
        <v>12000</v>
      </c>
      <c r="Q24" s="284">
        <v>0</v>
      </c>
      <c r="R24" s="284">
        <v>0</v>
      </c>
      <c r="S24" s="284">
        <v>0</v>
      </c>
      <c r="T24" s="284">
        <f t="shared" si="0"/>
        <v>12000</v>
      </c>
      <c r="U24" s="303">
        <v>40795</v>
      </c>
      <c r="V24" s="432" t="s">
        <v>933</v>
      </c>
      <c r="W24" s="422" t="s">
        <v>871</v>
      </c>
      <c r="X24" s="305"/>
      <c r="Y24" s="305"/>
      <c r="Z24" s="305"/>
      <c r="AA24" s="305"/>
      <c r="AB24" s="305"/>
      <c r="AC24" s="320"/>
      <c r="AD24" s="307">
        <v>40793</v>
      </c>
      <c r="AE24" s="297"/>
      <c r="AF24" s="299" t="s">
        <v>179</v>
      </c>
    </row>
    <row r="25" spans="1:32" s="311" customFormat="1" ht="30" hidden="1" customHeight="1" thickBot="1" x14ac:dyDescent="0.25">
      <c r="A25" s="431" t="s">
        <v>899</v>
      </c>
      <c r="B25" s="299" t="s">
        <v>23</v>
      </c>
      <c r="C25" s="299" t="s">
        <v>56</v>
      </c>
      <c r="D25" s="301" t="s">
        <v>900</v>
      </c>
      <c r="E25" s="301" t="s">
        <v>901</v>
      </c>
      <c r="F25" s="387">
        <v>4500</v>
      </c>
      <c r="G25" s="302">
        <v>4500</v>
      </c>
      <c r="H25" s="284">
        <v>0</v>
      </c>
      <c r="I25" s="284">
        <v>0</v>
      </c>
      <c r="J25" s="284">
        <v>0</v>
      </c>
      <c r="K25" s="284">
        <v>0</v>
      </c>
      <c r="L25" s="284">
        <v>0</v>
      </c>
      <c r="M25" s="284">
        <v>0</v>
      </c>
      <c r="N25" s="284">
        <v>0</v>
      </c>
      <c r="O25" s="284">
        <v>0</v>
      </c>
      <c r="P25" s="284">
        <v>4500</v>
      </c>
      <c r="Q25" s="284">
        <v>0</v>
      </c>
      <c r="R25" s="284">
        <v>0</v>
      </c>
      <c r="S25" s="284">
        <v>0</v>
      </c>
      <c r="T25" s="284">
        <f t="shared" si="0"/>
        <v>4500</v>
      </c>
      <c r="U25" s="303">
        <v>40808</v>
      </c>
      <c r="V25" s="436" t="s">
        <v>907</v>
      </c>
      <c r="W25" s="423" t="s">
        <v>908</v>
      </c>
      <c r="X25" s="305"/>
      <c r="Y25" s="305"/>
      <c r="Z25" s="305"/>
      <c r="AA25" s="305"/>
      <c r="AB25" s="305"/>
      <c r="AC25" s="320"/>
      <c r="AD25" s="307">
        <v>40802</v>
      </c>
      <c r="AE25" s="297"/>
      <c r="AF25" s="299" t="s">
        <v>909</v>
      </c>
    </row>
    <row r="26" spans="1:32" s="311" customFormat="1" ht="30" hidden="1" customHeight="1" thickBot="1" x14ac:dyDescent="0.25">
      <c r="A26" s="431" t="s">
        <v>119</v>
      </c>
      <c r="B26" s="299" t="s">
        <v>23</v>
      </c>
      <c r="C26" s="299" t="s">
        <v>61</v>
      </c>
      <c r="D26" s="301" t="s">
        <v>268</v>
      </c>
      <c r="E26" s="301" t="s">
        <v>604</v>
      </c>
      <c r="F26" s="299"/>
      <c r="G26" s="302" t="s">
        <v>850</v>
      </c>
      <c r="H26" s="284">
        <v>17255.3</v>
      </c>
      <c r="I26" s="284">
        <v>17746.2</v>
      </c>
      <c r="J26" s="284">
        <v>18949.599999999999</v>
      </c>
      <c r="K26" s="284">
        <v>18444</v>
      </c>
      <c r="L26" s="284">
        <v>19045.169999999998</v>
      </c>
      <c r="M26" s="284">
        <v>19662.5</v>
      </c>
      <c r="N26" s="284">
        <v>20332.79</v>
      </c>
      <c r="O26" s="284">
        <v>21178.81</v>
      </c>
      <c r="P26" s="284">
        <v>18623</v>
      </c>
      <c r="Q26" s="352">
        <v>19895.71</v>
      </c>
      <c r="R26" s="353">
        <v>21482.1</v>
      </c>
      <c r="S26" s="389">
        <v>21482.1</v>
      </c>
      <c r="T26" s="284">
        <f t="shared" si="0"/>
        <v>234097.28</v>
      </c>
      <c r="U26" s="307">
        <v>40842</v>
      </c>
      <c r="V26" s="432" t="s">
        <v>1017</v>
      </c>
      <c r="W26" s="422" t="s">
        <v>751</v>
      </c>
      <c r="X26" s="305"/>
      <c r="Y26" s="305"/>
      <c r="Z26" s="305"/>
      <c r="AA26" s="305"/>
      <c r="AB26" s="305"/>
      <c r="AC26" s="306">
        <v>40812</v>
      </c>
      <c r="AD26" s="307">
        <v>38652</v>
      </c>
      <c r="AE26" s="278">
        <f ca="1">TODAY()-DATE(YEAR(AD26)+6,MONTH(AD26),DAY(AD26))</f>
        <v>3539</v>
      </c>
      <c r="AF26" s="299" t="s">
        <v>96</v>
      </c>
    </row>
    <row r="27" spans="1:32" s="311" customFormat="1" ht="30" hidden="1" customHeight="1" thickBot="1" x14ac:dyDescent="0.25">
      <c r="A27" s="431" t="s">
        <v>877</v>
      </c>
      <c r="B27" s="310" t="s">
        <v>23</v>
      </c>
      <c r="C27" s="299" t="s">
        <v>56</v>
      </c>
      <c r="D27" s="301" t="s">
        <v>881</v>
      </c>
      <c r="E27" s="301" t="s">
        <v>878</v>
      </c>
      <c r="F27" s="305"/>
      <c r="G27" s="302" t="s">
        <v>879</v>
      </c>
      <c r="H27" s="284">
        <v>0</v>
      </c>
      <c r="I27" s="284">
        <v>0</v>
      </c>
      <c r="J27" s="284">
        <v>0</v>
      </c>
      <c r="K27" s="284">
        <v>0</v>
      </c>
      <c r="L27" s="284">
        <v>0</v>
      </c>
      <c r="M27" s="284">
        <v>0</v>
      </c>
      <c r="N27" s="284">
        <v>0</v>
      </c>
      <c r="O27" s="284">
        <v>0</v>
      </c>
      <c r="P27" s="284">
        <v>0</v>
      </c>
      <c r="Q27" s="284">
        <v>3540</v>
      </c>
      <c r="R27" s="284">
        <v>0</v>
      </c>
      <c r="S27" s="284">
        <v>3540</v>
      </c>
      <c r="T27" s="284">
        <f t="shared" si="0"/>
        <v>7080</v>
      </c>
      <c r="U27" s="303">
        <v>40845</v>
      </c>
      <c r="V27" s="435" t="s">
        <v>880</v>
      </c>
      <c r="W27" s="424" t="s">
        <v>888</v>
      </c>
      <c r="X27" s="305"/>
      <c r="Y27" s="305"/>
      <c r="Z27" s="305"/>
      <c r="AA27" s="305"/>
      <c r="AB27" s="305"/>
      <c r="AC27" s="295"/>
      <c r="AD27" s="307">
        <v>40786</v>
      </c>
      <c r="AE27" s="356"/>
      <c r="AF27" s="326" t="s">
        <v>29</v>
      </c>
    </row>
    <row r="28" spans="1:32" s="311" customFormat="1" ht="30" hidden="1" customHeight="1" thickBot="1" x14ac:dyDescent="0.25">
      <c r="A28" s="431" t="s">
        <v>941</v>
      </c>
      <c r="B28" s="310" t="s">
        <v>23</v>
      </c>
      <c r="C28" s="299" t="s">
        <v>56</v>
      </c>
      <c r="D28" s="301" t="s">
        <v>942</v>
      </c>
      <c r="E28" s="349" t="s">
        <v>943</v>
      </c>
      <c r="F28" s="387">
        <v>15900</v>
      </c>
      <c r="G28" s="302">
        <v>15900</v>
      </c>
      <c r="H28" s="284">
        <v>0</v>
      </c>
      <c r="I28" s="284">
        <v>0</v>
      </c>
      <c r="J28" s="284">
        <v>0</v>
      </c>
      <c r="K28" s="284">
        <v>0</v>
      </c>
      <c r="L28" s="284">
        <v>0</v>
      </c>
      <c r="M28" s="284">
        <v>0</v>
      </c>
      <c r="N28" s="284">
        <v>0</v>
      </c>
      <c r="O28" s="284">
        <v>0</v>
      </c>
      <c r="P28" s="284">
        <v>0</v>
      </c>
      <c r="Q28" s="284">
        <v>0</v>
      </c>
      <c r="R28" s="284">
        <v>15900</v>
      </c>
      <c r="S28" s="284">
        <v>0</v>
      </c>
      <c r="T28" s="284">
        <f t="shared" si="0"/>
        <v>15900</v>
      </c>
      <c r="U28" s="303">
        <v>40891</v>
      </c>
      <c r="V28" s="437" t="s">
        <v>1001</v>
      </c>
      <c r="W28" s="423" t="s">
        <v>999</v>
      </c>
      <c r="X28" s="305"/>
      <c r="Y28" s="305"/>
      <c r="Z28" s="305"/>
      <c r="AA28" s="305"/>
      <c r="AB28" s="305"/>
      <c r="AC28" s="306"/>
      <c r="AD28" s="307">
        <v>40847</v>
      </c>
      <c r="AE28" s="278"/>
      <c r="AF28" s="326" t="s">
        <v>48</v>
      </c>
    </row>
    <row r="29" spans="1:32" s="311" customFormat="1" ht="30" customHeight="1" thickBot="1" x14ac:dyDescent="0.25">
      <c r="A29" s="431" t="s">
        <v>1023</v>
      </c>
      <c r="B29" s="310" t="s">
        <v>23</v>
      </c>
      <c r="C29" s="299" t="s">
        <v>56</v>
      </c>
      <c r="D29" s="301" t="s">
        <v>83</v>
      </c>
      <c r="E29" s="301" t="s">
        <v>994</v>
      </c>
      <c r="F29" s="299" t="s">
        <v>995</v>
      </c>
      <c r="G29" s="302" t="s">
        <v>995</v>
      </c>
      <c r="H29" s="284">
        <v>503.1</v>
      </c>
      <c r="I29" s="284">
        <v>451.5</v>
      </c>
      <c r="J29" s="284">
        <v>503.1</v>
      </c>
      <c r="K29" s="284">
        <v>464.4</v>
      </c>
      <c r="L29" s="284">
        <v>477.3</v>
      </c>
      <c r="M29" s="284">
        <v>460.1</v>
      </c>
      <c r="N29" s="284">
        <v>490.2</v>
      </c>
      <c r="O29" s="284">
        <v>593.4</v>
      </c>
      <c r="P29" s="284">
        <v>593.4</v>
      </c>
      <c r="Q29" s="284">
        <v>662.5</v>
      </c>
      <c r="R29" s="284">
        <v>537.5</v>
      </c>
      <c r="S29" s="284">
        <v>395.6</v>
      </c>
      <c r="T29" s="284">
        <f t="shared" si="0"/>
        <v>6132.1</v>
      </c>
      <c r="U29" s="303">
        <v>40910</v>
      </c>
      <c r="V29" s="432" t="s">
        <v>996</v>
      </c>
      <c r="W29" s="422" t="s">
        <v>730</v>
      </c>
      <c r="X29" s="305"/>
      <c r="Y29" s="305"/>
      <c r="Z29" s="305"/>
      <c r="AA29" s="305"/>
      <c r="AB29" s="305"/>
      <c r="AC29" s="306">
        <v>40879</v>
      </c>
      <c r="AD29" s="307">
        <v>40541</v>
      </c>
      <c r="AE29" s="278">
        <f ca="1">TODAY()-DATE(YEAR(AD29)+6,MONTH(AD29),DAY(AD29))</f>
        <v>1649</v>
      </c>
      <c r="AF29" s="299" t="s">
        <v>48</v>
      </c>
    </row>
    <row r="30" spans="1:32" s="311" customFormat="1" ht="30" customHeight="1" thickBot="1" x14ac:dyDescent="0.25">
      <c r="A30" s="431" t="s">
        <v>658</v>
      </c>
      <c r="B30" s="299" t="s">
        <v>23</v>
      </c>
      <c r="C30" s="299" t="s">
        <v>24</v>
      </c>
      <c r="D30" s="301" t="s">
        <v>171</v>
      </c>
      <c r="E30" s="301" t="s">
        <v>779</v>
      </c>
      <c r="F30" s="299" t="s">
        <v>659</v>
      </c>
      <c r="G30" s="302" t="s">
        <v>659</v>
      </c>
      <c r="H30" s="284">
        <v>4092.72</v>
      </c>
      <c r="I30" s="284">
        <v>3164.57</v>
      </c>
      <c r="J30" s="284">
        <v>3164.57</v>
      </c>
      <c r="K30" s="284">
        <v>3400.97</v>
      </c>
      <c r="L30" s="284">
        <v>3746.09</v>
      </c>
      <c r="M30" s="284">
        <v>2597.65</v>
      </c>
      <c r="N30" s="284">
        <v>4027.66</v>
      </c>
      <c r="O30" s="284">
        <v>3521.87</v>
      </c>
      <c r="P30" s="284">
        <v>3124.67</v>
      </c>
      <c r="Q30" s="284">
        <v>3627.09</v>
      </c>
      <c r="R30" s="284">
        <v>2907.35</v>
      </c>
      <c r="S30" s="284">
        <v>3044.08</v>
      </c>
      <c r="T30" s="284">
        <f t="shared" si="0"/>
        <v>40419.29</v>
      </c>
      <c r="U30" s="409">
        <v>40911</v>
      </c>
      <c r="V30" s="432" t="s">
        <v>778</v>
      </c>
      <c r="W30" s="422" t="s">
        <v>753</v>
      </c>
      <c r="X30" s="305"/>
      <c r="Y30" s="305"/>
      <c r="Z30" s="305"/>
      <c r="AA30" s="305"/>
      <c r="AB30" s="305"/>
      <c r="AC30" s="306"/>
      <c r="AD30" s="307">
        <v>40182</v>
      </c>
      <c r="AE30" s="278">
        <f ca="1">TODAY()-DATE(YEAR(AD30)+6,MONTH(AD30),DAY(AD30))</f>
        <v>2009</v>
      </c>
      <c r="AF30" s="299" t="s">
        <v>54</v>
      </c>
    </row>
    <row r="31" spans="1:32" s="311" customFormat="1" ht="30" hidden="1" customHeight="1" thickBot="1" x14ac:dyDescent="0.25">
      <c r="A31" s="431" t="s">
        <v>184</v>
      </c>
      <c r="B31" s="300" t="s">
        <v>185</v>
      </c>
      <c r="C31" s="299" t="s">
        <v>37</v>
      </c>
      <c r="D31" s="301" t="s">
        <v>186</v>
      </c>
      <c r="E31" s="301" t="s">
        <v>187</v>
      </c>
      <c r="F31" s="387">
        <v>70800</v>
      </c>
      <c r="G31" s="302">
        <f>7314.73*12</f>
        <v>87776.76</v>
      </c>
      <c r="H31" s="284">
        <v>6895.22</v>
      </c>
      <c r="I31" s="284">
        <v>6895.22</v>
      </c>
      <c r="J31" s="284">
        <v>6895.22</v>
      </c>
      <c r="K31" s="284">
        <v>6895.22</v>
      </c>
      <c r="L31" s="284">
        <v>8992.77</v>
      </c>
      <c r="M31" s="284">
        <v>7314.73</v>
      </c>
      <c r="N31" s="284">
        <v>7314.73</v>
      </c>
      <c r="O31" s="284">
        <v>7314.73</v>
      </c>
      <c r="P31" s="284">
        <v>7314.73</v>
      </c>
      <c r="Q31" s="284">
        <v>0</v>
      </c>
      <c r="R31" s="284">
        <f>7314.73*2</f>
        <v>14629.46</v>
      </c>
      <c r="S31" s="284">
        <v>7314.73</v>
      </c>
      <c r="T31" s="284">
        <f t="shared" si="0"/>
        <v>87776.76</v>
      </c>
      <c r="U31" s="303">
        <v>40923</v>
      </c>
      <c r="V31" s="432" t="s">
        <v>764</v>
      </c>
      <c r="W31" s="422" t="s">
        <v>731</v>
      </c>
      <c r="X31" s="305"/>
      <c r="Y31" s="305"/>
      <c r="Z31" s="305"/>
      <c r="AA31" s="305"/>
      <c r="AB31" s="305"/>
      <c r="AC31" s="306">
        <v>40835</v>
      </c>
      <c r="AD31" s="307">
        <v>38732</v>
      </c>
      <c r="AE31" s="278"/>
      <c r="AF31" s="299" t="s">
        <v>169</v>
      </c>
    </row>
    <row r="32" spans="1:32" s="311" customFormat="1" ht="30" hidden="1" customHeight="1" thickBot="1" x14ac:dyDescent="0.25">
      <c r="A32" s="431" t="s">
        <v>926</v>
      </c>
      <c r="B32" s="299" t="s">
        <v>23</v>
      </c>
      <c r="C32" s="299" t="s">
        <v>56</v>
      </c>
      <c r="D32" s="301" t="s">
        <v>927</v>
      </c>
      <c r="E32" s="349" t="s">
        <v>928</v>
      </c>
      <c r="F32" s="299" t="s">
        <v>929</v>
      </c>
      <c r="G32" s="302" t="s">
        <v>929</v>
      </c>
      <c r="H32" s="360">
        <v>0</v>
      </c>
      <c r="I32" s="360">
        <v>0</v>
      </c>
      <c r="J32" s="360">
        <v>0</v>
      </c>
      <c r="K32" s="360">
        <v>0</v>
      </c>
      <c r="L32" s="360">
        <v>0</v>
      </c>
      <c r="M32" s="360">
        <v>0</v>
      </c>
      <c r="N32" s="360">
        <v>0</v>
      </c>
      <c r="O32" s="360">
        <v>0</v>
      </c>
      <c r="P32" s="360">
        <v>0</v>
      </c>
      <c r="Q32" s="360">
        <v>0</v>
      </c>
      <c r="R32" s="360">
        <v>7100</v>
      </c>
      <c r="S32" s="360">
        <v>0</v>
      </c>
      <c r="T32" s="284">
        <f t="shared" si="0"/>
        <v>7100</v>
      </c>
      <c r="U32" s="303">
        <v>40924</v>
      </c>
      <c r="V32" s="438" t="s">
        <v>930</v>
      </c>
      <c r="W32" s="425" t="s">
        <v>1000</v>
      </c>
      <c r="X32" s="305"/>
      <c r="Y32" s="305"/>
      <c r="Z32" s="305"/>
      <c r="AA32" s="305"/>
      <c r="AB32" s="305"/>
      <c r="AC32" s="306"/>
      <c r="AD32" s="307">
        <v>40864</v>
      </c>
      <c r="AE32" s="363"/>
      <c r="AF32" s="326" t="s">
        <v>48</v>
      </c>
    </row>
    <row r="33" spans="1:32" s="311" customFormat="1" ht="30" customHeight="1" thickBot="1" x14ac:dyDescent="0.25">
      <c r="A33" s="431" t="s">
        <v>599</v>
      </c>
      <c r="B33" s="300" t="s">
        <v>600</v>
      </c>
      <c r="C33" s="299" t="s">
        <v>613</v>
      </c>
      <c r="D33" s="301" t="s">
        <v>695</v>
      </c>
      <c r="E33" s="301" t="s">
        <v>696</v>
      </c>
      <c r="F33" s="387">
        <v>260000</v>
      </c>
      <c r="G33" s="302">
        <v>309430.8</v>
      </c>
      <c r="H33" s="284">
        <v>24551.84</v>
      </c>
      <c r="I33" s="284">
        <v>24035.24</v>
      </c>
      <c r="J33" s="284">
        <v>25798.240000000002</v>
      </c>
      <c r="K33" s="284">
        <v>24035.24</v>
      </c>
      <c r="L33" s="284">
        <v>29392.799999999999</v>
      </c>
      <c r="M33" s="284">
        <v>27679.26</v>
      </c>
      <c r="N33" s="284">
        <v>28077.4</v>
      </c>
      <c r="O33" s="284">
        <v>28926.959999999999</v>
      </c>
      <c r="P33" s="284">
        <v>27301.03</v>
      </c>
      <c r="Q33" s="284">
        <v>27301.03</v>
      </c>
      <c r="R33" s="284">
        <v>27479.95</v>
      </c>
      <c r="S33" s="284">
        <v>27479.95</v>
      </c>
      <c r="T33" s="284">
        <f t="shared" si="0"/>
        <v>322058.94000000006</v>
      </c>
      <c r="U33" s="303">
        <v>40949</v>
      </c>
      <c r="V33" s="432" t="s">
        <v>843</v>
      </c>
      <c r="W33" s="422" t="s">
        <v>732</v>
      </c>
      <c r="X33" s="305"/>
      <c r="Y33" s="305"/>
      <c r="Z33" s="305"/>
      <c r="AA33" s="305"/>
      <c r="AB33" s="305"/>
      <c r="AC33" s="307"/>
      <c r="AD33" s="307">
        <v>40036</v>
      </c>
      <c r="AE33" s="278">
        <f ca="1">TODAY()-DATE(YEAR(AD33)+6,MONTH(AD33),DAY(AD33))</f>
        <v>2155</v>
      </c>
      <c r="AF33" s="299" t="s">
        <v>48</v>
      </c>
    </row>
    <row r="34" spans="1:32" s="311" customFormat="1" ht="30" customHeight="1" thickBot="1" x14ac:dyDescent="0.25">
      <c r="A34" s="431" t="s">
        <v>193</v>
      </c>
      <c r="B34" s="300" t="s">
        <v>23</v>
      </c>
      <c r="C34" s="299" t="s">
        <v>56</v>
      </c>
      <c r="D34" s="301" t="s">
        <v>194</v>
      </c>
      <c r="E34" s="301" t="s">
        <v>195</v>
      </c>
      <c r="F34" s="387">
        <v>15600</v>
      </c>
      <c r="G34" s="302">
        <v>15600</v>
      </c>
      <c r="H34" s="284">
        <v>1300</v>
      </c>
      <c r="I34" s="284">
        <v>1300</v>
      </c>
      <c r="J34" s="284">
        <v>1300</v>
      </c>
      <c r="K34" s="284">
        <v>1300</v>
      </c>
      <c r="L34" s="284">
        <f>1300+180</f>
        <v>1480</v>
      </c>
      <c r="M34" s="284">
        <v>1300</v>
      </c>
      <c r="N34" s="284">
        <v>1300</v>
      </c>
      <c r="O34" s="284">
        <v>1300</v>
      </c>
      <c r="P34" s="284">
        <v>1300</v>
      </c>
      <c r="Q34" s="284">
        <v>1300</v>
      </c>
      <c r="R34" s="284">
        <v>1275</v>
      </c>
      <c r="S34" s="284">
        <v>1275</v>
      </c>
      <c r="T34" s="284">
        <f t="shared" si="0"/>
        <v>15730</v>
      </c>
      <c r="U34" s="303">
        <v>40951</v>
      </c>
      <c r="V34" s="432" t="s">
        <v>780</v>
      </c>
      <c r="W34" s="422" t="s">
        <v>734</v>
      </c>
      <c r="X34" s="305"/>
      <c r="Y34" s="305"/>
      <c r="Z34" s="305"/>
      <c r="AA34" s="305"/>
      <c r="AB34" s="305"/>
      <c r="AC34" s="306"/>
      <c r="AD34" s="307">
        <v>39125</v>
      </c>
      <c r="AE34" s="278">
        <f ca="1">TODAY()-DATE(YEAR(AD34)+6,MONTH(AD34),DAY(AD34))</f>
        <v>3065</v>
      </c>
      <c r="AF34" s="299" t="s">
        <v>48</v>
      </c>
    </row>
    <row r="35" spans="1:32" s="311" customFormat="1" ht="30" customHeight="1" thickBot="1" x14ac:dyDescent="0.25">
      <c r="A35" s="431" t="s">
        <v>801</v>
      </c>
      <c r="B35" s="299" t="s">
        <v>23</v>
      </c>
      <c r="C35" s="299" t="s">
        <v>61</v>
      </c>
      <c r="D35" s="301" t="s">
        <v>176</v>
      </c>
      <c r="E35" s="301" t="s">
        <v>310</v>
      </c>
      <c r="F35" s="299" t="s">
        <v>802</v>
      </c>
      <c r="G35" s="302" t="s">
        <v>802</v>
      </c>
      <c r="H35" s="284">
        <v>0</v>
      </c>
      <c r="I35" s="284">
        <v>0</v>
      </c>
      <c r="J35" s="284">
        <v>0</v>
      </c>
      <c r="K35" s="284">
        <v>0</v>
      </c>
      <c r="L35" s="284">
        <v>0</v>
      </c>
      <c r="M35" s="284">
        <v>1650</v>
      </c>
      <c r="N35" s="284">
        <v>1020</v>
      </c>
      <c r="O35" s="284">
        <v>1050</v>
      </c>
      <c r="P35" s="284">
        <v>1050</v>
      </c>
      <c r="Q35" s="284">
        <v>1010</v>
      </c>
      <c r="R35" s="284">
        <v>0</v>
      </c>
      <c r="S35" s="284">
        <v>1050</v>
      </c>
      <c r="T35" s="284">
        <f t="shared" si="0"/>
        <v>6830</v>
      </c>
      <c r="U35" s="303">
        <v>40963</v>
      </c>
      <c r="V35" s="432" t="s">
        <v>803</v>
      </c>
      <c r="W35" s="422" t="s">
        <v>729</v>
      </c>
      <c r="X35" s="305"/>
      <c r="Y35" s="305"/>
      <c r="Z35" s="305"/>
      <c r="AA35" s="305"/>
      <c r="AB35" s="305"/>
      <c r="AC35" s="306"/>
      <c r="AD35" s="307">
        <v>40599</v>
      </c>
      <c r="AE35" s="278">
        <f ca="1">TODAY()-DATE(YEAR(AD35)+6,MONTH(AD35),DAY(AD35))</f>
        <v>1591</v>
      </c>
      <c r="AF35" s="299" t="s">
        <v>179</v>
      </c>
    </row>
    <row r="36" spans="1:32" s="311" customFormat="1" ht="30" customHeight="1" thickBot="1" x14ac:dyDescent="0.25">
      <c r="A36" s="431" t="s">
        <v>934</v>
      </c>
      <c r="B36" s="299" t="s">
        <v>23</v>
      </c>
      <c r="C36" s="299" t="s">
        <v>61</v>
      </c>
      <c r="D36" s="301" t="s">
        <v>935</v>
      </c>
      <c r="E36" s="349" t="s">
        <v>936</v>
      </c>
      <c r="F36" s="299" t="s">
        <v>937</v>
      </c>
      <c r="G36" s="302" t="s">
        <v>937</v>
      </c>
      <c r="H36" s="284">
        <v>0</v>
      </c>
      <c r="I36" s="284">
        <v>0</v>
      </c>
      <c r="J36" s="284">
        <v>0</v>
      </c>
      <c r="K36" s="284">
        <v>0</v>
      </c>
      <c r="L36" s="284">
        <v>0</v>
      </c>
      <c r="M36" s="284">
        <v>0</v>
      </c>
      <c r="N36" s="284">
        <v>0</v>
      </c>
      <c r="O36" s="284">
        <v>0</v>
      </c>
      <c r="P36" s="284"/>
      <c r="Q36" s="284"/>
      <c r="R36" s="284"/>
      <c r="S36" s="284"/>
      <c r="T36" s="284">
        <v>0</v>
      </c>
      <c r="U36" s="303">
        <v>40967</v>
      </c>
      <c r="V36" s="432" t="s">
        <v>940</v>
      </c>
      <c r="W36" s="422" t="s">
        <v>997</v>
      </c>
      <c r="X36" s="305"/>
      <c r="Y36" s="305"/>
      <c r="Z36" s="305"/>
      <c r="AA36" s="305"/>
      <c r="AB36" s="305"/>
      <c r="AC36" s="320"/>
      <c r="AD36" s="307">
        <v>40876</v>
      </c>
      <c r="AE36" s="278"/>
      <c r="AF36" s="326" t="s">
        <v>947</v>
      </c>
    </row>
    <row r="37" spans="1:32" s="311" customFormat="1" ht="30" customHeight="1" thickBot="1" x14ac:dyDescent="0.25">
      <c r="A37" s="431" t="s">
        <v>817</v>
      </c>
      <c r="B37" s="299" t="s">
        <v>23</v>
      </c>
      <c r="C37" s="299" t="s">
        <v>56</v>
      </c>
      <c r="D37" s="301" t="s">
        <v>198</v>
      </c>
      <c r="E37" s="301" t="s">
        <v>818</v>
      </c>
      <c r="F37" s="387">
        <v>2601.12</v>
      </c>
      <c r="G37" s="302">
        <v>2601.12</v>
      </c>
      <c r="H37" s="284">
        <v>0</v>
      </c>
      <c r="I37" s="284">
        <v>0</v>
      </c>
      <c r="J37" s="284">
        <v>465.5</v>
      </c>
      <c r="K37" s="284">
        <f>490+216.76</f>
        <v>706.76</v>
      </c>
      <c r="L37" s="284">
        <v>216.76</v>
      </c>
      <c r="M37" s="284">
        <v>216.76</v>
      </c>
      <c r="N37" s="284">
        <v>216.76</v>
      </c>
      <c r="O37" s="284">
        <f>216.76+510</f>
        <v>726.76</v>
      </c>
      <c r="P37" s="284">
        <v>216.76</v>
      </c>
      <c r="Q37" s="284">
        <v>216.76</v>
      </c>
      <c r="R37" s="284">
        <v>216.76</v>
      </c>
      <c r="S37" s="284">
        <v>216.76</v>
      </c>
      <c r="T37" s="284">
        <f t="shared" ref="T37:T69" si="1">SUM(H37:S37)</f>
        <v>3416.3400000000011</v>
      </c>
      <c r="U37" s="303">
        <v>40967</v>
      </c>
      <c r="V37" s="432" t="s">
        <v>819</v>
      </c>
      <c r="W37" s="422" t="s">
        <v>735</v>
      </c>
      <c r="X37" s="305"/>
      <c r="Y37" s="305"/>
      <c r="Z37" s="305"/>
      <c r="AA37" s="305"/>
      <c r="AB37" s="305"/>
      <c r="AC37" s="306"/>
      <c r="AD37" s="307">
        <v>40603</v>
      </c>
      <c r="AE37" s="278">
        <f ca="1">TODAY()-DATE(YEAR(AD37)+6,MONTH(AD37),DAY(AD37))</f>
        <v>1587</v>
      </c>
      <c r="AF37" s="299" t="s">
        <v>201</v>
      </c>
    </row>
    <row r="38" spans="1:32" s="311" customFormat="1" ht="30" customHeight="1" thickBot="1" x14ac:dyDescent="0.25">
      <c r="A38" s="439" t="s">
        <v>610</v>
      </c>
      <c r="B38" s="300" t="s">
        <v>23</v>
      </c>
      <c r="C38" s="299" t="s">
        <v>56</v>
      </c>
      <c r="D38" s="301" t="s">
        <v>607</v>
      </c>
      <c r="E38" s="301" t="s">
        <v>608</v>
      </c>
      <c r="F38" s="387">
        <v>15999.56</v>
      </c>
      <c r="G38" s="302">
        <v>17034.72</v>
      </c>
      <c r="H38" s="284">
        <v>1333.3</v>
      </c>
      <c r="I38" s="284">
        <v>1333.3</v>
      </c>
      <c r="J38" s="284">
        <v>0</v>
      </c>
      <c r="K38" s="284">
        <f>1420.39*2</f>
        <v>2840.78</v>
      </c>
      <c r="L38" s="284">
        <v>1419.58</v>
      </c>
      <c r="M38" s="284">
        <v>1419.58</v>
      </c>
      <c r="N38" s="284">
        <v>1419.58</v>
      </c>
      <c r="O38" s="284">
        <f>1419.58+380.95</f>
        <v>1800.53</v>
      </c>
      <c r="P38" s="284">
        <v>1419.58</v>
      </c>
      <c r="Q38" s="284">
        <v>1419.58</v>
      </c>
      <c r="R38" s="284">
        <v>1419.58</v>
      </c>
      <c r="S38" s="284">
        <v>1419.58</v>
      </c>
      <c r="T38" s="284">
        <f t="shared" si="1"/>
        <v>17244.97</v>
      </c>
      <c r="U38" s="303">
        <v>40977</v>
      </c>
      <c r="V38" s="432" t="s">
        <v>837</v>
      </c>
      <c r="W38" s="422" t="s">
        <v>736</v>
      </c>
      <c r="X38" s="305"/>
      <c r="Y38" s="305"/>
      <c r="Z38" s="305"/>
      <c r="AA38" s="305"/>
      <c r="AB38" s="305"/>
      <c r="AC38" s="306"/>
      <c r="AD38" s="307">
        <v>39882</v>
      </c>
      <c r="AE38" s="278">
        <f ca="1">TODAY()-DATE(YEAR(AD38)+6,MONTH(AD38),DAY(AD38))</f>
        <v>2309</v>
      </c>
      <c r="AF38" s="299" t="s">
        <v>96</v>
      </c>
    </row>
    <row r="39" spans="1:32" s="311" customFormat="1" ht="30" customHeight="1" thickBot="1" x14ac:dyDescent="0.25">
      <c r="A39" s="431" t="s">
        <v>511</v>
      </c>
      <c r="B39" s="299" t="s">
        <v>23</v>
      </c>
      <c r="C39" s="299" t="s">
        <v>56</v>
      </c>
      <c r="D39" s="301" t="s">
        <v>207</v>
      </c>
      <c r="E39" s="301" t="s">
        <v>208</v>
      </c>
      <c r="F39" s="387" t="s">
        <v>209</v>
      </c>
      <c r="G39" s="302" t="s">
        <v>209</v>
      </c>
      <c r="H39" s="284">
        <v>950</v>
      </c>
      <c r="I39" s="284">
        <v>522.5</v>
      </c>
      <c r="J39" s="284">
        <v>229.5</v>
      </c>
      <c r="K39" s="284">
        <v>583</v>
      </c>
      <c r="L39" s="284">
        <v>475</v>
      </c>
      <c r="M39" s="284">
        <v>745.5</v>
      </c>
      <c r="N39" s="284">
        <v>446</v>
      </c>
      <c r="O39" s="284">
        <v>866</v>
      </c>
      <c r="P39" s="284">
        <v>767</v>
      </c>
      <c r="Q39" s="284">
        <v>819.5</v>
      </c>
      <c r="R39" s="284">
        <v>524.5</v>
      </c>
      <c r="S39" s="284">
        <v>390</v>
      </c>
      <c r="T39" s="284">
        <f t="shared" si="1"/>
        <v>7318.5</v>
      </c>
      <c r="U39" s="303">
        <v>40984</v>
      </c>
      <c r="V39" s="432" t="s">
        <v>800</v>
      </c>
      <c r="W39" s="422" t="s">
        <v>737</v>
      </c>
      <c r="X39" s="305"/>
      <c r="Y39" s="305"/>
      <c r="Z39" s="305"/>
      <c r="AA39" s="305"/>
      <c r="AB39" s="305"/>
      <c r="AC39" s="306"/>
      <c r="AD39" s="307">
        <v>39889</v>
      </c>
      <c r="AE39" s="278">
        <f ca="1">TODAY()-DATE(YEAR(AD39)+6,MONTH(AD39),DAY(AD39))</f>
        <v>2302</v>
      </c>
      <c r="AF39" s="299" t="s">
        <v>48</v>
      </c>
    </row>
    <row r="40" spans="1:32" s="311" customFormat="1" ht="30" customHeight="1" thickBot="1" x14ac:dyDescent="0.25">
      <c r="A40" s="431" t="s">
        <v>894</v>
      </c>
      <c r="B40" s="299" t="s">
        <v>23</v>
      </c>
      <c r="C40" s="299" t="s">
        <v>56</v>
      </c>
      <c r="D40" s="301" t="s">
        <v>895</v>
      </c>
      <c r="E40" s="301" t="s">
        <v>896</v>
      </c>
      <c r="F40" s="299" t="s">
        <v>897</v>
      </c>
      <c r="G40" s="302" t="s">
        <v>897</v>
      </c>
      <c r="H40" s="284">
        <v>0</v>
      </c>
      <c r="I40" s="284">
        <v>0</v>
      </c>
      <c r="J40" s="284">
        <v>0</v>
      </c>
      <c r="K40" s="284">
        <v>0</v>
      </c>
      <c r="L40" s="284">
        <v>0</v>
      </c>
      <c r="M40" s="284">
        <v>0</v>
      </c>
      <c r="N40" s="284">
        <v>0</v>
      </c>
      <c r="O40" s="284">
        <v>0</v>
      </c>
      <c r="P40" s="284">
        <v>0</v>
      </c>
      <c r="Q40" s="284">
        <v>1116.96</v>
      </c>
      <c r="R40" s="284">
        <v>1402.15</v>
      </c>
      <c r="S40" s="284">
        <v>1439.72</v>
      </c>
      <c r="T40" s="284">
        <f t="shared" si="1"/>
        <v>3958.83</v>
      </c>
      <c r="U40" s="303">
        <v>40997</v>
      </c>
      <c r="V40" s="437" t="s">
        <v>944</v>
      </c>
      <c r="W40" s="423" t="s">
        <v>910</v>
      </c>
      <c r="X40" s="305"/>
      <c r="Y40" s="305"/>
      <c r="Z40" s="305"/>
      <c r="AA40" s="305"/>
      <c r="AB40" s="305"/>
      <c r="AC40" s="306"/>
      <c r="AD40" s="307">
        <v>40816</v>
      </c>
      <c r="AE40" s="278"/>
      <c r="AF40" s="299" t="s">
        <v>48</v>
      </c>
    </row>
    <row r="41" spans="1:32" s="311" customFormat="1" ht="30" customHeight="1" thickBot="1" x14ac:dyDescent="0.25">
      <c r="A41" s="431" t="s">
        <v>286</v>
      </c>
      <c r="B41" s="300" t="s">
        <v>251</v>
      </c>
      <c r="C41" s="299" t="s">
        <v>37</v>
      </c>
      <c r="D41" s="301" t="s">
        <v>287</v>
      </c>
      <c r="E41" s="301" t="s">
        <v>288</v>
      </c>
      <c r="F41" s="387" t="s">
        <v>375</v>
      </c>
      <c r="G41" s="302" t="s">
        <v>921</v>
      </c>
      <c r="H41" s="284">
        <v>0</v>
      </c>
      <c r="I41" s="284">
        <v>0</v>
      </c>
      <c r="J41" s="284">
        <v>0</v>
      </c>
      <c r="K41" s="284">
        <v>0</v>
      </c>
      <c r="L41" s="284">
        <v>0</v>
      </c>
      <c r="M41" s="284">
        <v>0</v>
      </c>
      <c r="N41" s="284">
        <v>0</v>
      </c>
      <c r="O41" s="284">
        <v>0</v>
      </c>
      <c r="P41" s="284">
        <v>0</v>
      </c>
      <c r="Q41" s="284">
        <v>0</v>
      </c>
      <c r="R41" s="284">
        <v>0</v>
      </c>
      <c r="S41" s="284">
        <v>0</v>
      </c>
      <c r="T41" s="284">
        <f t="shared" si="1"/>
        <v>0</v>
      </c>
      <c r="U41" s="309">
        <v>41004</v>
      </c>
      <c r="V41" s="432" t="s">
        <v>939</v>
      </c>
      <c r="W41" s="422" t="s">
        <v>723</v>
      </c>
      <c r="X41" s="305"/>
      <c r="Y41" s="305"/>
      <c r="Z41" s="305"/>
      <c r="AA41" s="305"/>
      <c r="AB41" s="305"/>
      <c r="AC41" s="306"/>
      <c r="AD41" s="307">
        <v>39300</v>
      </c>
      <c r="AE41" s="278">
        <f t="shared" ref="AE41:AE69" ca="1" si="2">TODAY()-DATE(YEAR(AD41)+6,MONTH(AD41),DAY(AD41))</f>
        <v>2890</v>
      </c>
      <c r="AF41" s="299" t="s">
        <v>649</v>
      </c>
    </row>
    <row r="42" spans="1:32" s="311" customFormat="1" ht="30" customHeight="1" thickBot="1" x14ac:dyDescent="0.25">
      <c r="A42" s="439" t="s">
        <v>845</v>
      </c>
      <c r="B42" s="299" t="s">
        <v>23</v>
      </c>
      <c r="C42" s="299" t="s">
        <v>56</v>
      </c>
      <c r="D42" s="301" t="s">
        <v>333</v>
      </c>
      <c r="E42" s="301" t="s">
        <v>846</v>
      </c>
      <c r="F42" s="387">
        <v>1200</v>
      </c>
      <c r="G42" s="302">
        <v>1200</v>
      </c>
      <c r="H42" s="284">
        <v>0</v>
      </c>
      <c r="I42" s="284">
        <v>0</v>
      </c>
      <c r="J42" s="284">
        <v>0</v>
      </c>
      <c r="K42" s="284">
        <v>0</v>
      </c>
      <c r="L42" s="284">
        <v>0</v>
      </c>
      <c r="M42" s="284">
        <v>1200</v>
      </c>
      <c r="N42" s="284">
        <v>0</v>
      </c>
      <c r="O42" s="284">
        <v>0</v>
      </c>
      <c r="P42" s="284">
        <v>0</v>
      </c>
      <c r="Q42" s="284">
        <v>0</v>
      </c>
      <c r="R42" s="284">
        <v>0</v>
      </c>
      <c r="S42" s="284">
        <v>0</v>
      </c>
      <c r="T42" s="284">
        <f t="shared" si="1"/>
        <v>1200</v>
      </c>
      <c r="U42" s="303">
        <v>41012</v>
      </c>
      <c r="V42" s="432" t="s">
        <v>847</v>
      </c>
      <c r="W42" s="422" t="s">
        <v>863</v>
      </c>
      <c r="X42" s="305"/>
      <c r="Y42" s="305"/>
      <c r="Z42" s="305"/>
      <c r="AA42" s="305"/>
      <c r="AB42" s="305"/>
      <c r="AC42" s="306"/>
      <c r="AD42" s="307">
        <v>40647</v>
      </c>
      <c r="AE42" s="278">
        <f t="shared" ca="1" si="2"/>
        <v>1543</v>
      </c>
      <c r="AF42" s="299" t="s">
        <v>41</v>
      </c>
    </row>
    <row r="43" spans="1:32" s="311" customFormat="1" ht="30" customHeight="1" thickBot="1" x14ac:dyDescent="0.25">
      <c r="A43" s="431" t="s">
        <v>583</v>
      </c>
      <c r="B43" s="299" t="s">
        <v>23</v>
      </c>
      <c r="C43" s="299" t="s">
        <v>61</v>
      </c>
      <c r="D43" s="301" t="s">
        <v>50</v>
      </c>
      <c r="E43" s="301" t="s">
        <v>51</v>
      </c>
      <c r="F43" s="387" t="s">
        <v>1006</v>
      </c>
      <c r="G43" s="302" t="s">
        <v>848</v>
      </c>
      <c r="H43" s="284">
        <v>740</v>
      </c>
      <c r="I43" s="284">
        <v>740</v>
      </c>
      <c r="J43" s="284">
        <v>740</v>
      </c>
      <c r="K43" s="284">
        <f>740+78</f>
        <v>818</v>
      </c>
      <c r="L43" s="284">
        <v>740</v>
      </c>
      <c r="M43" s="284">
        <v>740</v>
      </c>
      <c r="N43" s="284">
        <v>820.66</v>
      </c>
      <c r="O43" s="284">
        <v>820.66</v>
      </c>
      <c r="P43" s="284">
        <v>820.66</v>
      </c>
      <c r="Q43" s="284">
        <v>820.66</v>
      </c>
      <c r="R43" s="284">
        <v>820.66</v>
      </c>
      <c r="S43" s="284">
        <v>820.66</v>
      </c>
      <c r="T43" s="284">
        <f t="shared" si="1"/>
        <v>9441.9599999999991</v>
      </c>
      <c r="U43" s="303">
        <v>41021</v>
      </c>
      <c r="V43" s="432" t="s">
        <v>849</v>
      </c>
      <c r="W43" s="422" t="s">
        <v>738</v>
      </c>
      <c r="X43" s="305"/>
      <c r="Y43" s="305"/>
      <c r="Z43" s="305"/>
      <c r="AA43" s="305"/>
      <c r="AB43" s="305"/>
      <c r="AC43" s="306"/>
      <c r="AD43" s="307">
        <v>39926</v>
      </c>
      <c r="AE43" s="278">
        <f t="shared" ca="1" si="2"/>
        <v>2265</v>
      </c>
      <c r="AF43" s="299" t="s">
        <v>54</v>
      </c>
    </row>
    <row r="44" spans="1:32" s="311" customFormat="1" ht="30" customHeight="1" thickBot="1" x14ac:dyDescent="0.25">
      <c r="A44" s="440" t="s">
        <v>677</v>
      </c>
      <c r="B44" s="300" t="s">
        <v>678</v>
      </c>
      <c r="C44" s="299" t="s">
        <v>37</v>
      </c>
      <c r="D44" s="301" t="s">
        <v>38</v>
      </c>
      <c r="E44" s="301" t="s">
        <v>679</v>
      </c>
      <c r="F44" s="299" t="s">
        <v>1011</v>
      </c>
      <c r="G44" s="302">
        <v>79590</v>
      </c>
      <c r="H44" s="284">
        <v>6632.5</v>
      </c>
      <c r="I44" s="284">
        <v>6632.5</v>
      </c>
      <c r="J44" s="284">
        <v>6632.5</v>
      </c>
      <c r="K44" s="284">
        <v>6632.5</v>
      </c>
      <c r="L44" s="284">
        <v>6632.5</v>
      </c>
      <c r="M44" s="284">
        <v>6632.5</v>
      </c>
      <c r="N44" s="284">
        <v>6632.5</v>
      </c>
      <c r="O44" s="284">
        <v>6632.5</v>
      </c>
      <c r="P44" s="284">
        <v>6632.5</v>
      </c>
      <c r="Q44" s="284">
        <v>6632.5</v>
      </c>
      <c r="R44" s="284">
        <v>6632.5</v>
      </c>
      <c r="S44" s="284">
        <v>6632.5</v>
      </c>
      <c r="T44" s="284">
        <f t="shared" si="1"/>
        <v>79590</v>
      </c>
      <c r="U44" s="303">
        <v>41030</v>
      </c>
      <c r="V44" s="432" t="s">
        <v>844</v>
      </c>
      <c r="W44" s="422" t="s">
        <v>739</v>
      </c>
      <c r="X44" s="305"/>
      <c r="Y44" s="305"/>
      <c r="Z44" s="305"/>
      <c r="AA44" s="305"/>
      <c r="AB44" s="305"/>
      <c r="AC44" s="306"/>
      <c r="AD44" s="307">
        <v>40318</v>
      </c>
      <c r="AE44" s="278">
        <f t="shared" ca="1" si="2"/>
        <v>1872</v>
      </c>
      <c r="AF44" s="299" t="s">
        <v>41</v>
      </c>
    </row>
    <row r="45" spans="1:32" s="311" customFormat="1" ht="30" customHeight="1" thickBot="1" x14ac:dyDescent="0.25">
      <c r="A45" s="431" t="s">
        <v>682</v>
      </c>
      <c r="B45" s="299" t="s">
        <v>683</v>
      </c>
      <c r="C45" s="299" t="s">
        <v>37</v>
      </c>
      <c r="D45" s="301" t="s">
        <v>684</v>
      </c>
      <c r="E45" s="301" t="s">
        <v>685</v>
      </c>
      <c r="F45" s="387" t="s">
        <v>686</v>
      </c>
      <c r="G45" s="302" t="s">
        <v>686</v>
      </c>
      <c r="H45" s="284">
        <v>0</v>
      </c>
      <c r="I45" s="284">
        <f>4007.8+4016.5</f>
        <v>8024.3</v>
      </c>
      <c r="J45" s="284">
        <v>0</v>
      </c>
      <c r="K45" s="284">
        <v>3761.3</v>
      </c>
      <c r="L45" s="284">
        <v>0</v>
      </c>
      <c r="M45" s="284">
        <v>3410.4</v>
      </c>
      <c r="N45" s="284">
        <v>2450.5</v>
      </c>
      <c r="O45" s="284">
        <v>2398.3000000000002</v>
      </c>
      <c r="P45" s="284">
        <v>2366.4</v>
      </c>
      <c r="Q45" s="284">
        <v>2378</v>
      </c>
      <c r="R45" s="284">
        <v>2488.1999999999998</v>
      </c>
      <c r="S45" s="284">
        <v>2798.2</v>
      </c>
      <c r="T45" s="284">
        <f t="shared" si="1"/>
        <v>30075.600000000002</v>
      </c>
      <c r="U45" s="303">
        <v>41067</v>
      </c>
      <c r="V45" s="432" t="s">
        <v>854</v>
      </c>
      <c r="W45" s="422" t="s">
        <v>741</v>
      </c>
      <c r="X45" s="305"/>
      <c r="Y45" s="305"/>
      <c r="Z45" s="305"/>
      <c r="AA45" s="305"/>
      <c r="AB45" s="305"/>
      <c r="AC45" s="306"/>
      <c r="AD45" s="307">
        <v>40336</v>
      </c>
      <c r="AE45" s="278">
        <f t="shared" ca="1" si="2"/>
        <v>1854</v>
      </c>
      <c r="AF45" s="299">
        <v>1</v>
      </c>
    </row>
    <row r="46" spans="1:32" s="311" customFormat="1" ht="30" customHeight="1" thickBot="1" x14ac:dyDescent="0.25">
      <c r="A46" s="431" t="s">
        <v>589</v>
      </c>
      <c r="B46" s="299" t="s">
        <v>23</v>
      </c>
      <c r="C46" s="299" t="s">
        <v>56</v>
      </c>
      <c r="D46" s="301" t="s">
        <v>138</v>
      </c>
      <c r="E46" s="301" t="s">
        <v>591</v>
      </c>
      <c r="F46" s="387" t="s">
        <v>1007</v>
      </c>
      <c r="G46" s="302" t="s">
        <v>851</v>
      </c>
      <c r="H46" s="284">
        <v>553.67999999999995</v>
      </c>
      <c r="I46" s="284">
        <v>553.67999999999995</v>
      </c>
      <c r="J46" s="284">
        <v>553.67999999999995</v>
      </c>
      <c r="K46" s="284">
        <v>553.67999999999995</v>
      </c>
      <c r="L46" s="284">
        <v>553.67999999999995</v>
      </c>
      <c r="M46" s="284">
        <v>607.75</v>
      </c>
      <c r="N46" s="284">
        <v>607.75</v>
      </c>
      <c r="O46" s="284">
        <v>607.75</v>
      </c>
      <c r="P46" s="284">
        <v>607.75</v>
      </c>
      <c r="Q46" s="284">
        <v>607.75</v>
      </c>
      <c r="R46" s="284">
        <v>607.75</v>
      </c>
      <c r="S46" s="284">
        <v>607.75</v>
      </c>
      <c r="T46" s="284">
        <f t="shared" si="1"/>
        <v>7022.65</v>
      </c>
      <c r="U46" s="303">
        <v>41068</v>
      </c>
      <c r="V46" s="432" t="s">
        <v>852</v>
      </c>
      <c r="W46" s="422" t="s">
        <v>740</v>
      </c>
      <c r="X46" s="305"/>
      <c r="Y46" s="305"/>
      <c r="Z46" s="305"/>
      <c r="AA46" s="305"/>
      <c r="AB46" s="305"/>
      <c r="AC46" s="306"/>
      <c r="AD46" s="307">
        <v>39973</v>
      </c>
      <c r="AE46" s="278">
        <f t="shared" ca="1" si="2"/>
        <v>2218</v>
      </c>
      <c r="AF46" s="299" t="s">
        <v>48</v>
      </c>
    </row>
    <row r="47" spans="1:32" s="311" customFormat="1" ht="30" customHeight="1" thickBot="1" x14ac:dyDescent="0.25">
      <c r="A47" s="431" t="s">
        <v>579</v>
      </c>
      <c r="B47" s="300" t="s">
        <v>23</v>
      </c>
      <c r="C47" s="326" t="s">
        <v>56</v>
      </c>
      <c r="D47" s="301" t="s">
        <v>580</v>
      </c>
      <c r="E47" s="301" t="s">
        <v>581</v>
      </c>
      <c r="F47" s="387" t="s">
        <v>1008</v>
      </c>
      <c r="G47" s="302" t="s">
        <v>864</v>
      </c>
      <c r="H47" s="284">
        <v>170</v>
      </c>
      <c r="I47" s="284">
        <v>170</v>
      </c>
      <c r="J47" s="284">
        <v>170</v>
      </c>
      <c r="K47" s="284">
        <v>170</v>
      </c>
      <c r="L47" s="284">
        <v>170</v>
      </c>
      <c r="M47" s="284">
        <v>170</v>
      </c>
      <c r="N47" s="284">
        <v>180.95</v>
      </c>
      <c r="O47" s="284">
        <v>180.95</v>
      </c>
      <c r="P47" s="284">
        <v>180.95</v>
      </c>
      <c r="Q47" s="284">
        <v>180.95</v>
      </c>
      <c r="R47" s="284">
        <v>180.95</v>
      </c>
      <c r="S47" s="284">
        <v>180.95</v>
      </c>
      <c r="T47" s="284">
        <f t="shared" si="1"/>
        <v>2105.7000000000003</v>
      </c>
      <c r="U47" s="303">
        <v>41074</v>
      </c>
      <c r="V47" s="432" t="s">
        <v>865</v>
      </c>
      <c r="W47" s="422" t="s">
        <v>742</v>
      </c>
      <c r="X47" s="305"/>
      <c r="Y47" s="305"/>
      <c r="Z47" s="305"/>
      <c r="AA47" s="305"/>
      <c r="AB47" s="305"/>
      <c r="AC47" s="306"/>
      <c r="AD47" s="307">
        <v>39979</v>
      </c>
      <c r="AE47" s="278">
        <f t="shared" ca="1" si="2"/>
        <v>2212</v>
      </c>
      <c r="AF47" s="299" t="s">
        <v>48</v>
      </c>
    </row>
    <row r="48" spans="1:32" s="311" customFormat="1" ht="30" customHeight="1" thickBot="1" x14ac:dyDescent="0.25">
      <c r="A48" s="431" t="s">
        <v>360</v>
      </c>
      <c r="B48" s="300" t="s">
        <v>251</v>
      </c>
      <c r="C48" s="299" t="s">
        <v>61</v>
      </c>
      <c r="D48" s="301" t="s">
        <v>212</v>
      </c>
      <c r="E48" s="301" t="s">
        <v>361</v>
      </c>
      <c r="F48" s="387">
        <v>5940</v>
      </c>
      <c r="G48" s="302">
        <v>7040.16</v>
      </c>
      <c r="H48" s="284">
        <v>534.49</v>
      </c>
      <c r="I48" s="284">
        <v>534.49</v>
      </c>
      <c r="J48" s="284">
        <v>534.49</v>
      </c>
      <c r="K48" s="284">
        <v>534.49</v>
      </c>
      <c r="L48" s="284">
        <v>534.49</v>
      </c>
      <c r="M48" s="284">
        <v>534.49</v>
      </c>
      <c r="N48" s="284">
        <v>586.67999999999995</v>
      </c>
      <c r="O48" s="284">
        <v>586.67999999999995</v>
      </c>
      <c r="P48" s="284">
        <v>586.67999999999995</v>
      </c>
      <c r="Q48" s="284">
        <v>586.67999999999995</v>
      </c>
      <c r="R48" s="284">
        <v>586.67999999999995</v>
      </c>
      <c r="S48" s="284">
        <v>557.35</v>
      </c>
      <c r="T48" s="284">
        <f t="shared" si="1"/>
        <v>6697.6900000000005</v>
      </c>
      <c r="U48" s="303">
        <v>41078</v>
      </c>
      <c r="V48" s="432" t="s">
        <v>853</v>
      </c>
      <c r="W48" s="422" t="s">
        <v>726</v>
      </c>
      <c r="X48" s="305"/>
      <c r="Y48" s="305"/>
      <c r="Z48" s="305"/>
      <c r="AA48" s="305"/>
      <c r="AB48" s="305"/>
      <c r="AC48" s="306"/>
      <c r="AD48" s="307">
        <v>39617</v>
      </c>
      <c r="AE48" s="278">
        <f t="shared" ca="1" si="2"/>
        <v>2574</v>
      </c>
      <c r="AF48" s="299" t="s">
        <v>48</v>
      </c>
    </row>
    <row r="49" spans="1:32" s="311" customFormat="1" ht="30" customHeight="1" thickBot="1" x14ac:dyDescent="0.25">
      <c r="A49" s="431" t="s">
        <v>356</v>
      </c>
      <c r="B49" s="299" t="s">
        <v>23</v>
      </c>
      <c r="C49" s="299" t="s">
        <v>61</v>
      </c>
      <c r="D49" s="301" t="s">
        <v>62</v>
      </c>
      <c r="E49" s="301" t="s">
        <v>357</v>
      </c>
      <c r="F49" s="387">
        <v>8004.24</v>
      </c>
      <c r="G49" s="302">
        <v>8004.24</v>
      </c>
      <c r="H49" s="284">
        <v>667.02</v>
      </c>
      <c r="I49" s="284">
        <v>667.02</v>
      </c>
      <c r="J49" s="284">
        <v>667.02</v>
      </c>
      <c r="K49" s="284">
        <v>667.02</v>
      </c>
      <c r="L49" s="284">
        <v>667.02</v>
      </c>
      <c r="M49" s="284">
        <f>667.02+450</f>
        <v>1117.02</v>
      </c>
      <c r="N49" s="284">
        <v>667.02</v>
      </c>
      <c r="O49" s="284">
        <v>667.02</v>
      </c>
      <c r="P49" s="284">
        <v>667.02</v>
      </c>
      <c r="Q49" s="284">
        <v>667.02</v>
      </c>
      <c r="R49" s="284">
        <v>667.02</v>
      </c>
      <c r="S49" s="284">
        <v>667.02</v>
      </c>
      <c r="T49" s="284">
        <f t="shared" si="1"/>
        <v>8454.2400000000016</v>
      </c>
      <c r="U49" s="303">
        <v>41080</v>
      </c>
      <c r="V49" s="432" t="s">
        <v>853</v>
      </c>
      <c r="W49" s="422" t="s">
        <v>743</v>
      </c>
      <c r="X49" s="305"/>
      <c r="Y49" s="305"/>
      <c r="Z49" s="305"/>
      <c r="AA49" s="305"/>
      <c r="AB49" s="305"/>
      <c r="AC49" s="306"/>
      <c r="AD49" s="307">
        <v>39619</v>
      </c>
      <c r="AE49" s="278">
        <f t="shared" ca="1" si="2"/>
        <v>2572</v>
      </c>
      <c r="AF49" s="299" t="s">
        <v>48</v>
      </c>
    </row>
    <row r="50" spans="1:32" s="311" customFormat="1" ht="30" customHeight="1" thickBot="1" x14ac:dyDescent="0.25">
      <c r="A50" s="431" t="s">
        <v>363</v>
      </c>
      <c r="B50" s="399" t="s">
        <v>485</v>
      </c>
      <c r="C50" s="299" t="s">
        <v>37</v>
      </c>
      <c r="D50" s="301" t="s">
        <v>365</v>
      </c>
      <c r="E50" s="301" t="s">
        <v>366</v>
      </c>
      <c r="F50" s="387">
        <v>21600</v>
      </c>
      <c r="G50" s="302">
        <v>27203.040000000001</v>
      </c>
      <c r="H50" s="284">
        <v>2122.67</v>
      </c>
      <c r="I50" s="284">
        <v>0</v>
      </c>
      <c r="J50" s="284">
        <f>2122.67*2</f>
        <v>4245.34</v>
      </c>
      <c r="K50" s="284">
        <v>2122.67</v>
      </c>
      <c r="L50" s="284">
        <v>2122.67</v>
      </c>
      <c r="M50" s="284">
        <v>2122.67</v>
      </c>
      <c r="N50" s="284">
        <v>2122.67</v>
      </c>
      <c r="O50" s="284">
        <v>2266.92</v>
      </c>
      <c r="P50" s="284">
        <v>2266.92</v>
      </c>
      <c r="Q50" s="284">
        <v>2266.92</v>
      </c>
      <c r="R50" s="284">
        <v>2266.92</v>
      </c>
      <c r="S50" s="284">
        <v>2266.92</v>
      </c>
      <c r="T50" s="284">
        <f t="shared" si="1"/>
        <v>26193.289999999994</v>
      </c>
      <c r="U50" s="303">
        <v>41114</v>
      </c>
      <c r="V50" s="432" t="s">
        <v>866</v>
      </c>
      <c r="W50" s="422" t="s">
        <v>744</v>
      </c>
      <c r="X50" s="305"/>
      <c r="Y50" s="305"/>
      <c r="Z50" s="305"/>
      <c r="AA50" s="305"/>
      <c r="AB50" s="305"/>
      <c r="AC50" s="306"/>
      <c r="AD50" s="307">
        <v>39288</v>
      </c>
      <c r="AE50" s="278">
        <f t="shared" ca="1" si="2"/>
        <v>2902</v>
      </c>
      <c r="AF50" s="299" t="s">
        <v>96</v>
      </c>
    </row>
    <row r="51" spans="1:32" s="311" customFormat="1" ht="30" customHeight="1" thickBot="1" x14ac:dyDescent="0.25">
      <c r="A51" s="431" t="s">
        <v>1024</v>
      </c>
      <c r="B51" s="300" t="s">
        <v>585</v>
      </c>
      <c r="C51" s="299" t="s">
        <v>613</v>
      </c>
      <c r="D51" s="301" t="s">
        <v>586</v>
      </c>
      <c r="E51" s="301" t="s">
        <v>587</v>
      </c>
      <c r="F51" s="387" t="s">
        <v>1009</v>
      </c>
      <c r="G51" s="302" t="s">
        <v>925</v>
      </c>
      <c r="H51" s="284">
        <v>69136.63</v>
      </c>
      <c r="I51" s="284">
        <v>64873.93</v>
      </c>
      <c r="J51" s="284">
        <v>66548.95</v>
      </c>
      <c r="K51" s="284">
        <v>68205.820000000007</v>
      </c>
      <c r="L51" s="284">
        <v>68763.34</v>
      </c>
      <c r="M51" s="284">
        <v>74021.740000000005</v>
      </c>
      <c r="N51" s="284">
        <v>74283.58</v>
      </c>
      <c r="O51" s="284">
        <v>75219.58</v>
      </c>
      <c r="P51" s="284">
        <v>78771.839999999997</v>
      </c>
      <c r="Q51" s="284">
        <v>76064.94</v>
      </c>
      <c r="R51" s="284">
        <v>99018.34</v>
      </c>
      <c r="S51" s="284">
        <f>36963.42+83956.39</f>
        <v>120919.81</v>
      </c>
      <c r="T51" s="284">
        <f t="shared" si="1"/>
        <v>935828.5</v>
      </c>
      <c r="U51" s="303">
        <v>41132</v>
      </c>
      <c r="V51" s="432" t="s">
        <v>924</v>
      </c>
      <c r="W51" s="422" t="s">
        <v>733</v>
      </c>
      <c r="X51" s="305"/>
      <c r="Y51" s="305"/>
      <c r="Z51" s="305"/>
      <c r="AA51" s="305"/>
      <c r="AB51" s="305"/>
      <c r="AC51" s="306"/>
      <c r="AD51" s="307">
        <v>40037</v>
      </c>
      <c r="AE51" s="278">
        <f t="shared" ca="1" si="2"/>
        <v>2154</v>
      </c>
      <c r="AF51" s="299" t="s">
        <v>96</v>
      </c>
    </row>
    <row r="52" spans="1:32" s="377" customFormat="1" ht="30" customHeight="1" thickBot="1" x14ac:dyDescent="0.25">
      <c r="A52" s="431" t="s">
        <v>872</v>
      </c>
      <c r="B52" s="299" t="s">
        <v>23</v>
      </c>
      <c r="C52" s="299" t="s">
        <v>24</v>
      </c>
      <c r="D52" s="367" t="s">
        <v>873</v>
      </c>
      <c r="E52" s="367" t="s">
        <v>874</v>
      </c>
      <c r="F52" s="368" t="s">
        <v>875</v>
      </c>
      <c r="G52" s="369" t="s">
        <v>875</v>
      </c>
      <c r="H52" s="370">
        <v>2067.5</v>
      </c>
      <c r="I52" s="370">
        <v>2979.87</v>
      </c>
      <c r="J52" s="370">
        <v>3076.73</v>
      </c>
      <c r="K52" s="370">
        <v>2884.75</v>
      </c>
      <c r="L52" s="370">
        <v>2627.69</v>
      </c>
      <c r="M52" s="370">
        <v>2972.01</v>
      </c>
      <c r="N52" s="370">
        <v>3672.06</v>
      </c>
      <c r="O52" s="370">
        <v>3707.36</v>
      </c>
      <c r="P52" s="370">
        <v>4406.74</v>
      </c>
      <c r="Q52" s="370">
        <v>3691.24</v>
      </c>
      <c r="R52" s="370">
        <v>4209.9799999999996</v>
      </c>
      <c r="S52" s="370">
        <v>4785.8500000000004</v>
      </c>
      <c r="T52" s="370">
        <f t="shared" si="1"/>
        <v>41081.780000000006</v>
      </c>
      <c r="U52" s="372">
        <v>41146</v>
      </c>
      <c r="V52" s="441" t="s">
        <v>876</v>
      </c>
      <c r="W52" s="426" t="s">
        <v>840</v>
      </c>
      <c r="X52" s="368"/>
      <c r="Y52" s="368"/>
      <c r="Z52" s="368"/>
      <c r="AA52" s="368"/>
      <c r="AB52" s="368"/>
      <c r="AC52" s="375"/>
      <c r="AD52" s="375">
        <v>40781</v>
      </c>
      <c r="AE52" s="376">
        <f t="shared" ca="1" si="2"/>
        <v>1409</v>
      </c>
      <c r="AF52" s="366" t="s">
        <v>34</v>
      </c>
    </row>
    <row r="53" spans="1:32" s="311" customFormat="1" ht="30" customHeight="1" thickBot="1" x14ac:dyDescent="0.25">
      <c r="A53" s="431" t="s">
        <v>488</v>
      </c>
      <c r="B53" s="299" t="s">
        <v>489</v>
      </c>
      <c r="C53" s="299" t="s">
        <v>613</v>
      </c>
      <c r="D53" s="301" t="s">
        <v>44</v>
      </c>
      <c r="E53" s="301" t="s">
        <v>653</v>
      </c>
      <c r="F53" s="387">
        <v>127800</v>
      </c>
      <c r="G53" s="302">
        <v>170814</v>
      </c>
      <c r="H53" s="284">
        <v>13097.12</v>
      </c>
      <c r="I53" s="284">
        <v>13460.88</v>
      </c>
      <c r="J53" s="284">
        <v>12609.6</v>
      </c>
      <c r="K53" s="284">
        <v>12439.58</v>
      </c>
      <c r="L53" s="284">
        <v>14215.22</v>
      </c>
      <c r="M53" s="284">
        <v>13696.72</v>
      </c>
      <c r="N53" s="284">
        <v>13367.6</v>
      </c>
      <c r="O53" s="284">
        <v>13578.8</v>
      </c>
      <c r="P53" s="284">
        <v>12469.28</v>
      </c>
      <c r="Q53" s="284">
        <v>12448.16</v>
      </c>
      <c r="R53" s="284">
        <v>12500.96</v>
      </c>
      <c r="S53" s="284">
        <v>14610.88</v>
      </c>
      <c r="T53" s="284">
        <f t="shared" si="1"/>
        <v>158494.79999999999</v>
      </c>
      <c r="U53" s="303">
        <v>41154</v>
      </c>
      <c r="V53" s="432" t="s">
        <v>974</v>
      </c>
      <c r="W53" s="422" t="s">
        <v>746</v>
      </c>
      <c r="X53" s="305"/>
      <c r="Y53" s="305"/>
      <c r="Z53" s="305"/>
      <c r="AA53" s="305"/>
      <c r="AB53" s="305"/>
      <c r="AC53" s="306">
        <v>40757</v>
      </c>
      <c r="AD53" s="307">
        <v>39328</v>
      </c>
      <c r="AE53" s="278">
        <f t="shared" ca="1" si="2"/>
        <v>2862</v>
      </c>
      <c r="AF53" s="299" t="s">
        <v>48</v>
      </c>
    </row>
    <row r="54" spans="1:32" s="311" customFormat="1" ht="30" customHeight="1" thickBot="1" x14ac:dyDescent="0.25">
      <c r="A54" s="431" t="s">
        <v>259</v>
      </c>
      <c r="B54" s="299" t="s">
        <v>23</v>
      </c>
      <c r="C54" s="299" t="s">
        <v>24</v>
      </c>
      <c r="D54" s="301" t="s">
        <v>260</v>
      </c>
      <c r="E54" s="301" t="s">
        <v>656</v>
      </c>
      <c r="F54" s="387" t="s">
        <v>263</v>
      </c>
      <c r="G54" s="302" t="s">
        <v>842</v>
      </c>
      <c r="H54" s="284">
        <v>0</v>
      </c>
      <c r="I54" s="284">
        <f>184.6+5527.7</f>
        <v>5712.3</v>
      </c>
      <c r="J54" s="284">
        <f>5576.64+95.21+79.83+10+5696.71</f>
        <v>11458.39</v>
      </c>
      <c r="K54" s="284">
        <f>4870.48+24.48</f>
        <v>4894.9599999999991</v>
      </c>
      <c r="L54" s="284">
        <f>13.61+5545.01+706.49</f>
        <v>6265.11</v>
      </c>
      <c r="M54" s="284">
        <f>71.83+26+6919.61</f>
        <v>7017.44</v>
      </c>
      <c r="N54" s="284">
        <f>5847.49+631.98</f>
        <v>6479.4699999999993</v>
      </c>
      <c r="O54" s="284">
        <f>55.34+7157.06</f>
        <v>7212.4000000000005</v>
      </c>
      <c r="P54" s="284">
        <f>9253.57+82.62</f>
        <v>9336.19</v>
      </c>
      <c r="Q54" s="284">
        <f>7388.38+47.49</f>
        <v>7435.87</v>
      </c>
      <c r="R54" s="284">
        <f>8090.18+5.17</f>
        <v>8095.35</v>
      </c>
      <c r="S54" s="284">
        <v>9881.4500000000007</v>
      </c>
      <c r="T54" s="284">
        <f t="shared" si="1"/>
        <v>83788.930000000008</v>
      </c>
      <c r="U54" s="309">
        <v>41182</v>
      </c>
      <c r="V54" s="432" t="s">
        <v>949</v>
      </c>
      <c r="W54" s="423" t="s">
        <v>841</v>
      </c>
      <c r="X54" s="305"/>
      <c r="Y54" s="305"/>
      <c r="Z54" s="305"/>
      <c r="AA54" s="305"/>
      <c r="AB54" s="305"/>
      <c r="AC54" s="306"/>
      <c r="AD54" s="307">
        <v>39356</v>
      </c>
      <c r="AE54" s="278">
        <f t="shared" ca="1" si="2"/>
        <v>2834</v>
      </c>
      <c r="AF54" s="299" t="s">
        <v>34</v>
      </c>
    </row>
    <row r="55" spans="1:32" s="311" customFormat="1" ht="30" hidden="1" customHeight="1" thickBot="1" x14ac:dyDescent="0.25">
      <c r="A55" s="442" t="s">
        <v>515</v>
      </c>
      <c r="B55" s="299" t="s">
        <v>23</v>
      </c>
      <c r="C55" s="299" t="s">
        <v>56</v>
      </c>
      <c r="D55" s="301" t="s">
        <v>516</v>
      </c>
      <c r="E55" s="301" t="s">
        <v>517</v>
      </c>
      <c r="F55" s="387" t="s">
        <v>1019</v>
      </c>
      <c r="G55" s="302">
        <v>18210.36</v>
      </c>
      <c r="H55" s="284">
        <v>1266.47</v>
      </c>
      <c r="I55" s="284">
        <v>1266.47</v>
      </c>
      <c r="J55" s="284">
        <v>1266.47</v>
      </c>
      <c r="K55" s="284">
        <v>1635.71</v>
      </c>
      <c r="L55" s="284">
        <v>1240.8800000000001</v>
      </c>
      <c r="M55" s="284">
        <v>1240.8800000000001</v>
      </c>
      <c r="N55" s="284">
        <v>1292.05</v>
      </c>
      <c r="O55" s="284">
        <v>0</v>
      </c>
      <c r="P55" s="284">
        <f>1317.64+1356.01</f>
        <v>2673.65</v>
      </c>
      <c r="Q55" s="284">
        <v>1417.18</v>
      </c>
      <c r="R55" s="284">
        <v>1517.53</v>
      </c>
      <c r="S55" s="284">
        <v>1503.86</v>
      </c>
      <c r="T55" s="284">
        <f t="shared" si="1"/>
        <v>16321.150000000001</v>
      </c>
      <c r="U55" s="309">
        <v>41182</v>
      </c>
      <c r="V55" s="432" t="s">
        <v>987</v>
      </c>
      <c r="W55" s="422" t="s">
        <v>747</v>
      </c>
      <c r="X55" s="305"/>
      <c r="Y55" s="305"/>
      <c r="Z55" s="305"/>
      <c r="AA55" s="305"/>
      <c r="AB55" s="305"/>
      <c r="AC55" s="306">
        <v>40786</v>
      </c>
      <c r="AD55" s="307">
        <v>39722</v>
      </c>
      <c r="AE55" s="278">
        <f t="shared" ca="1" si="2"/>
        <v>2469</v>
      </c>
      <c r="AF55" s="299" t="s">
        <v>96</v>
      </c>
    </row>
    <row r="56" spans="1:32" s="311" customFormat="1" ht="30" customHeight="1" thickBot="1" x14ac:dyDescent="0.25">
      <c r="A56" s="431" t="s">
        <v>616</v>
      </c>
      <c r="B56" s="299" t="s">
        <v>600</v>
      </c>
      <c r="C56" s="299" t="s">
        <v>617</v>
      </c>
      <c r="D56" s="301" t="s">
        <v>618</v>
      </c>
      <c r="E56" s="301" t="s">
        <v>654</v>
      </c>
      <c r="F56" s="387" t="s">
        <v>1010</v>
      </c>
      <c r="G56" s="302" t="s">
        <v>655</v>
      </c>
      <c r="H56" s="284">
        <v>1325</v>
      </c>
      <c r="I56" s="284">
        <v>1325</v>
      </c>
      <c r="J56" s="284">
        <v>1325</v>
      </c>
      <c r="K56" s="284">
        <v>1325</v>
      </c>
      <c r="L56" s="284">
        <v>1844.79</v>
      </c>
      <c r="M56" s="284">
        <v>1325</v>
      </c>
      <c r="N56" s="284">
        <v>1403</v>
      </c>
      <c r="O56" s="284">
        <v>1996.38</v>
      </c>
      <c r="P56" s="284">
        <v>1996.38</v>
      </c>
      <c r="Q56" s="284">
        <v>1996.38</v>
      </c>
      <c r="R56" s="284">
        <v>2058.4299999999998</v>
      </c>
      <c r="S56" s="284">
        <v>1803.65</v>
      </c>
      <c r="T56" s="284">
        <f t="shared" si="1"/>
        <v>19724.010000000006</v>
      </c>
      <c r="U56" s="309">
        <v>41191</v>
      </c>
      <c r="V56" s="432" t="s">
        <v>914</v>
      </c>
      <c r="W56" s="422" t="s">
        <v>748</v>
      </c>
      <c r="X56" s="305"/>
      <c r="Y56" s="305"/>
      <c r="Z56" s="305"/>
      <c r="AA56" s="305"/>
      <c r="AB56" s="305"/>
      <c r="AC56" s="306"/>
      <c r="AD56" s="307">
        <v>40095</v>
      </c>
      <c r="AE56" s="278">
        <f t="shared" ca="1" si="2"/>
        <v>2096</v>
      </c>
      <c r="AF56" s="299" t="s">
        <v>48</v>
      </c>
    </row>
    <row r="57" spans="1:32" s="311" customFormat="1" ht="30" customHeight="1" thickBot="1" x14ac:dyDescent="0.25">
      <c r="A57" s="431" t="s">
        <v>215</v>
      </c>
      <c r="B57" s="299" t="s">
        <v>23</v>
      </c>
      <c r="C57" s="299" t="s">
        <v>24</v>
      </c>
      <c r="D57" s="301" t="s">
        <v>216</v>
      </c>
      <c r="E57" s="301" t="s">
        <v>217</v>
      </c>
      <c r="F57" s="387" t="s">
        <v>375</v>
      </c>
      <c r="G57" s="302" t="s">
        <v>375</v>
      </c>
      <c r="H57" s="284">
        <v>0</v>
      </c>
      <c r="I57" s="284">
        <v>0</v>
      </c>
      <c r="J57" s="284">
        <v>0</v>
      </c>
      <c r="K57" s="284">
        <v>0</v>
      </c>
      <c r="L57" s="284">
        <v>0</v>
      </c>
      <c r="M57" s="284">
        <v>0</v>
      </c>
      <c r="N57" s="284">
        <v>0</v>
      </c>
      <c r="O57" s="284">
        <v>0</v>
      </c>
      <c r="P57" s="284">
        <v>1456</v>
      </c>
      <c r="Q57" s="284">
        <v>0</v>
      </c>
      <c r="R57" s="284">
        <v>0</v>
      </c>
      <c r="S57" s="284">
        <v>0</v>
      </c>
      <c r="T57" s="284">
        <f t="shared" si="1"/>
        <v>1456</v>
      </c>
      <c r="U57" s="303">
        <v>41198</v>
      </c>
      <c r="V57" s="432" t="s">
        <v>561</v>
      </c>
      <c r="W57" s="422" t="s">
        <v>757</v>
      </c>
      <c r="X57" s="305"/>
      <c r="Y57" s="305"/>
      <c r="Z57" s="305"/>
      <c r="AA57" s="305"/>
      <c r="AB57" s="305"/>
      <c r="AC57" s="306"/>
      <c r="AD57" s="307">
        <v>39737</v>
      </c>
      <c r="AE57" s="278">
        <f t="shared" ca="1" si="2"/>
        <v>2454</v>
      </c>
      <c r="AF57" s="299" t="s">
        <v>169</v>
      </c>
    </row>
    <row r="58" spans="1:32" s="311" customFormat="1" ht="30" customHeight="1" thickBot="1" x14ac:dyDescent="0.25">
      <c r="A58" s="431" t="s">
        <v>711</v>
      </c>
      <c r="B58" s="326" t="s">
        <v>23</v>
      </c>
      <c r="C58" s="326" t="s">
        <v>61</v>
      </c>
      <c r="D58" s="301" t="s">
        <v>98</v>
      </c>
      <c r="E58" s="301" t="s">
        <v>712</v>
      </c>
      <c r="F58" s="299" t="s">
        <v>1012</v>
      </c>
      <c r="G58" s="302" t="s">
        <v>713</v>
      </c>
      <c r="H58" s="284">
        <v>461.8</v>
      </c>
      <c r="I58" s="284">
        <v>788.95</v>
      </c>
      <c r="J58" s="284">
        <v>355.9</v>
      </c>
      <c r="K58" s="284">
        <v>137.5</v>
      </c>
      <c r="L58" s="284">
        <v>431.5</v>
      </c>
      <c r="M58" s="284">
        <v>550.04</v>
      </c>
      <c r="N58" s="284">
        <v>183.7</v>
      </c>
      <c r="O58" s="284">
        <v>333.9</v>
      </c>
      <c r="P58" s="284">
        <v>108.8</v>
      </c>
      <c r="Q58" s="284">
        <v>1150.3499999999999</v>
      </c>
      <c r="R58" s="284">
        <v>166.4</v>
      </c>
      <c r="S58" s="284">
        <v>50.5</v>
      </c>
      <c r="T58" s="284">
        <f t="shared" si="1"/>
        <v>4719.34</v>
      </c>
      <c r="U58" s="303">
        <v>41204</v>
      </c>
      <c r="V58" s="432" t="s">
        <v>913</v>
      </c>
      <c r="W58" s="422" t="s">
        <v>749</v>
      </c>
      <c r="X58" s="305"/>
      <c r="Y58" s="305"/>
      <c r="Z58" s="305"/>
      <c r="AA58" s="305"/>
      <c r="AB58" s="305"/>
      <c r="AC58" s="306"/>
      <c r="AD58" s="307">
        <v>40473</v>
      </c>
      <c r="AE58" s="278">
        <f t="shared" ca="1" si="2"/>
        <v>1717</v>
      </c>
      <c r="AF58" s="299" t="s">
        <v>48</v>
      </c>
    </row>
    <row r="59" spans="1:32" s="311" customFormat="1" ht="30" customHeight="1" thickBot="1" x14ac:dyDescent="0.25">
      <c r="A59" s="442" t="s">
        <v>115</v>
      </c>
      <c r="B59" s="299" t="s">
        <v>23</v>
      </c>
      <c r="C59" s="299" t="s">
        <v>56</v>
      </c>
      <c r="D59" s="301" t="s">
        <v>116</v>
      </c>
      <c r="E59" s="301" t="s">
        <v>117</v>
      </c>
      <c r="F59" s="387">
        <v>6340.6</v>
      </c>
      <c r="G59" s="323">
        <v>5924.8</v>
      </c>
      <c r="H59" s="284">
        <v>422.4</v>
      </c>
      <c r="I59" s="284">
        <v>424.8</v>
      </c>
      <c r="J59" s="284">
        <v>414</v>
      </c>
      <c r="K59" s="284">
        <v>448.2</v>
      </c>
      <c r="L59" s="284">
        <v>538.20000000000005</v>
      </c>
      <c r="M59" s="284">
        <v>651.6</v>
      </c>
      <c r="N59" s="284">
        <v>518.4</v>
      </c>
      <c r="O59" s="284">
        <v>524.4</v>
      </c>
      <c r="P59" s="284">
        <v>524.4</v>
      </c>
      <c r="Q59" s="284">
        <v>528.6</v>
      </c>
      <c r="R59" s="284">
        <v>449.4</v>
      </c>
      <c r="S59" s="284">
        <v>460.2</v>
      </c>
      <c r="T59" s="284">
        <f t="shared" si="1"/>
        <v>5904.6</v>
      </c>
      <c r="U59" s="309">
        <v>41206</v>
      </c>
      <c r="V59" s="432" t="s">
        <v>912</v>
      </c>
      <c r="W59" s="422" t="s">
        <v>750</v>
      </c>
      <c r="X59" s="305"/>
      <c r="Y59" s="305"/>
      <c r="Z59" s="305"/>
      <c r="AA59" s="305"/>
      <c r="AB59" s="305"/>
      <c r="AC59" s="306"/>
      <c r="AD59" s="307">
        <v>39015</v>
      </c>
      <c r="AE59" s="278">
        <f t="shared" ca="1" si="2"/>
        <v>3175</v>
      </c>
      <c r="AF59" s="299" t="s">
        <v>96</v>
      </c>
    </row>
    <row r="60" spans="1:32" s="311" customFormat="1" ht="30" customHeight="1" thickBot="1" x14ac:dyDescent="0.25">
      <c r="A60" s="431" t="s">
        <v>915</v>
      </c>
      <c r="B60" s="299" t="s">
        <v>23</v>
      </c>
      <c r="C60" s="299" t="s">
        <v>56</v>
      </c>
      <c r="D60" s="301" t="s">
        <v>973</v>
      </c>
      <c r="E60" s="301" t="s">
        <v>917</v>
      </c>
      <c r="F60" s="387">
        <v>6500</v>
      </c>
      <c r="G60" s="302">
        <v>6500</v>
      </c>
      <c r="H60" s="284">
        <v>0</v>
      </c>
      <c r="I60" s="284">
        <v>0</v>
      </c>
      <c r="J60" s="284">
        <v>0</v>
      </c>
      <c r="K60" s="284">
        <v>0</v>
      </c>
      <c r="L60" s="284">
        <v>0</v>
      </c>
      <c r="M60" s="284">
        <v>0</v>
      </c>
      <c r="N60" s="284">
        <v>0</v>
      </c>
      <c r="O60" s="284">
        <v>0</v>
      </c>
      <c r="P60" s="284">
        <v>0</v>
      </c>
      <c r="Q60" s="284">
        <v>0</v>
      </c>
      <c r="R60" s="284">
        <v>6500</v>
      </c>
      <c r="S60" s="284">
        <v>0</v>
      </c>
      <c r="T60" s="284">
        <f t="shared" si="1"/>
        <v>6500</v>
      </c>
      <c r="U60" s="309">
        <v>41207</v>
      </c>
      <c r="V60" s="432" t="s">
        <v>918</v>
      </c>
      <c r="W60" s="427" t="s">
        <v>948</v>
      </c>
      <c r="X60" s="305"/>
      <c r="Y60" s="305"/>
      <c r="Z60" s="305"/>
      <c r="AA60" s="305"/>
      <c r="AB60" s="305"/>
      <c r="AC60" s="306"/>
      <c r="AD60" s="307">
        <v>40842</v>
      </c>
      <c r="AE60" s="278">
        <f t="shared" ca="1" si="2"/>
        <v>1348</v>
      </c>
      <c r="AF60" s="299" t="s">
        <v>649</v>
      </c>
    </row>
    <row r="61" spans="1:32" s="311" customFormat="1" ht="30" customHeight="1" thickBot="1" x14ac:dyDescent="0.25">
      <c r="A61" s="431" t="s">
        <v>397</v>
      </c>
      <c r="B61" s="299" t="s">
        <v>398</v>
      </c>
      <c r="C61" s="299" t="s">
        <v>613</v>
      </c>
      <c r="D61" s="301" t="s">
        <v>399</v>
      </c>
      <c r="E61" s="301" t="s">
        <v>400</v>
      </c>
      <c r="F61" s="387" t="s">
        <v>1005</v>
      </c>
      <c r="G61" s="302" t="s">
        <v>919</v>
      </c>
      <c r="H61" s="284">
        <v>6976.24</v>
      </c>
      <c r="I61" s="284">
        <v>7827.22</v>
      </c>
      <c r="J61" s="284">
        <v>7605.73</v>
      </c>
      <c r="K61" s="284">
        <v>8483.77</v>
      </c>
      <c r="L61" s="284">
        <v>7224.11</v>
      </c>
      <c r="M61" s="284">
        <v>6971.95</v>
      </c>
      <c r="N61" s="284">
        <v>6232.3</v>
      </c>
      <c r="O61" s="284">
        <v>8066.54</v>
      </c>
      <c r="P61" s="284">
        <v>8059.15</v>
      </c>
      <c r="Q61" s="284">
        <v>6703.94</v>
      </c>
      <c r="R61" s="284">
        <v>5766.65</v>
      </c>
      <c r="S61" s="284">
        <v>6364.72</v>
      </c>
      <c r="T61" s="284">
        <f t="shared" si="1"/>
        <v>86282.319999999992</v>
      </c>
      <c r="U61" s="303">
        <v>41215</v>
      </c>
      <c r="V61" s="432" t="s">
        <v>920</v>
      </c>
      <c r="W61" s="422" t="s">
        <v>752</v>
      </c>
      <c r="X61" s="305"/>
      <c r="Y61" s="305"/>
      <c r="Z61" s="305"/>
      <c r="AA61" s="305"/>
      <c r="AB61" s="305"/>
      <c r="AC61" s="306"/>
      <c r="AD61" s="307">
        <v>39755</v>
      </c>
      <c r="AE61" s="278">
        <f t="shared" ca="1" si="2"/>
        <v>2436</v>
      </c>
      <c r="AF61" s="299" t="s">
        <v>48</v>
      </c>
    </row>
    <row r="62" spans="1:32" s="311" customFormat="1" ht="30" customHeight="1" thickBot="1" x14ac:dyDescent="0.25">
      <c r="A62" s="431" t="s">
        <v>786</v>
      </c>
      <c r="B62" s="322" t="s">
        <v>23</v>
      </c>
      <c r="C62" s="299" t="s">
        <v>372</v>
      </c>
      <c r="D62" s="301" t="s">
        <v>787</v>
      </c>
      <c r="E62" s="301" t="s">
        <v>791</v>
      </c>
      <c r="F62" s="299" t="s">
        <v>375</v>
      </c>
      <c r="G62" s="302" t="s">
        <v>375</v>
      </c>
      <c r="H62" s="284">
        <v>0</v>
      </c>
      <c r="I62" s="284">
        <v>0</v>
      </c>
      <c r="J62" s="284">
        <v>0</v>
      </c>
      <c r="K62" s="284">
        <v>0</v>
      </c>
      <c r="L62" s="284">
        <v>0</v>
      </c>
      <c r="M62" s="284">
        <v>0</v>
      </c>
      <c r="N62" s="284">
        <v>0</v>
      </c>
      <c r="O62" s="284">
        <v>0</v>
      </c>
      <c r="P62" s="284">
        <v>0</v>
      </c>
      <c r="Q62" s="284">
        <v>0</v>
      </c>
      <c r="R62" s="284">
        <v>0</v>
      </c>
      <c r="S62" s="284">
        <v>0</v>
      </c>
      <c r="T62" s="284">
        <f t="shared" si="1"/>
        <v>0</v>
      </c>
      <c r="U62" s="309">
        <v>41228</v>
      </c>
      <c r="V62" s="432" t="s">
        <v>788</v>
      </c>
      <c r="W62" s="423" t="s">
        <v>838</v>
      </c>
      <c r="X62" s="305"/>
      <c r="Y62" s="305"/>
      <c r="Z62" s="305"/>
      <c r="AA62" s="305"/>
      <c r="AB62" s="305"/>
      <c r="AC62" s="306"/>
      <c r="AD62" s="307">
        <v>40498</v>
      </c>
      <c r="AE62" s="278">
        <f t="shared" ca="1" si="2"/>
        <v>1692</v>
      </c>
      <c r="AF62" s="299" t="s">
        <v>96</v>
      </c>
    </row>
    <row r="63" spans="1:32" s="311" customFormat="1" ht="30" customHeight="1" thickBot="1" x14ac:dyDescent="0.25">
      <c r="A63" s="431" t="s">
        <v>137</v>
      </c>
      <c r="B63" s="299" t="s">
        <v>23</v>
      </c>
      <c r="C63" s="299" t="s">
        <v>56</v>
      </c>
      <c r="D63" s="301" t="s">
        <v>138</v>
      </c>
      <c r="E63" s="301" t="s">
        <v>139</v>
      </c>
      <c r="F63" s="387" t="s">
        <v>1004</v>
      </c>
      <c r="G63" s="302" t="s">
        <v>952</v>
      </c>
      <c r="H63" s="284">
        <v>642.75</v>
      </c>
      <c r="I63" s="284">
        <v>642.75</v>
      </c>
      <c r="J63" s="284">
        <v>642.75</v>
      </c>
      <c r="K63" s="284">
        <v>642.75</v>
      </c>
      <c r="L63" s="284">
        <v>642.75</v>
      </c>
      <c r="M63" s="284">
        <v>642.75</v>
      </c>
      <c r="N63" s="284">
        <v>642.75</v>
      </c>
      <c r="O63" s="284">
        <v>642.75</v>
      </c>
      <c r="P63" s="284">
        <v>642.75</v>
      </c>
      <c r="Q63" s="284">
        <v>642.75</v>
      </c>
      <c r="R63" s="284">
        <v>642.75</v>
      </c>
      <c r="S63" s="284">
        <v>642.75</v>
      </c>
      <c r="T63" s="284">
        <f t="shared" si="1"/>
        <v>7713</v>
      </c>
      <c r="U63" s="303">
        <v>41228</v>
      </c>
      <c r="V63" s="432" t="s">
        <v>982</v>
      </c>
      <c r="W63" s="422" t="s">
        <v>740</v>
      </c>
      <c r="X63" s="305"/>
      <c r="Y63" s="305"/>
      <c r="Z63" s="305"/>
      <c r="AA63" s="305"/>
      <c r="AB63" s="305"/>
      <c r="AC63" s="306">
        <v>40830</v>
      </c>
      <c r="AD63" s="307">
        <v>39037</v>
      </c>
      <c r="AE63" s="278">
        <f t="shared" ca="1" si="2"/>
        <v>3153</v>
      </c>
      <c r="AF63" s="299" t="s">
        <v>48</v>
      </c>
    </row>
    <row r="64" spans="1:32" s="311" customFormat="1" ht="30" customHeight="1" thickBot="1" x14ac:dyDescent="0.25">
      <c r="A64" s="431" t="s">
        <v>628</v>
      </c>
      <c r="B64" s="300" t="s">
        <v>585</v>
      </c>
      <c r="C64" s="299" t="s">
        <v>617</v>
      </c>
      <c r="D64" s="312" t="s">
        <v>44</v>
      </c>
      <c r="E64" s="337" t="s">
        <v>932</v>
      </c>
      <c r="F64" s="387">
        <v>35900</v>
      </c>
      <c r="G64" s="313">
        <v>40083.480000000003</v>
      </c>
      <c r="H64" s="314">
        <v>3131.7</v>
      </c>
      <c r="I64" s="314">
        <v>3131.7</v>
      </c>
      <c r="J64" s="314">
        <v>3131.7</v>
      </c>
      <c r="K64" s="314">
        <v>3131.7</v>
      </c>
      <c r="L64" s="314">
        <v>3131.7</v>
      </c>
      <c r="M64" s="314">
        <v>3131.7</v>
      </c>
      <c r="N64" s="314">
        <v>3131.7</v>
      </c>
      <c r="O64" s="314">
        <v>3131.7</v>
      </c>
      <c r="P64" s="314">
        <v>3131.7</v>
      </c>
      <c r="Q64" s="314">
        <v>3131.7</v>
      </c>
      <c r="R64" s="314">
        <v>3131.7</v>
      </c>
      <c r="S64" s="314">
        <v>3131.7</v>
      </c>
      <c r="T64" s="284">
        <f t="shared" si="1"/>
        <v>37580.400000000001</v>
      </c>
      <c r="U64" s="303">
        <v>41243</v>
      </c>
      <c r="V64" s="443" t="s">
        <v>931</v>
      </c>
      <c r="W64" s="422" t="s">
        <v>746</v>
      </c>
      <c r="X64" s="305"/>
      <c r="Y64" s="305"/>
      <c r="Z64" s="305"/>
      <c r="AA64" s="305"/>
      <c r="AB64" s="305"/>
      <c r="AC64" s="303"/>
      <c r="AD64" s="316">
        <v>40147</v>
      </c>
      <c r="AE64" s="278">
        <f t="shared" ca="1" si="2"/>
        <v>2044</v>
      </c>
      <c r="AF64" s="299" t="s">
        <v>48</v>
      </c>
    </row>
    <row r="65" spans="1:37" s="311" customFormat="1" ht="30" customHeight="1" thickBot="1" x14ac:dyDescent="0.25">
      <c r="A65" s="431" t="s">
        <v>412</v>
      </c>
      <c r="B65" s="299" t="s">
        <v>413</v>
      </c>
      <c r="C65" s="299" t="s">
        <v>613</v>
      </c>
      <c r="D65" s="301" t="s">
        <v>414</v>
      </c>
      <c r="E65" s="301" t="s">
        <v>415</v>
      </c>
      <c r="F65" s="387">
        <v>90271.1</v>
      </c>
      <c r="G65" s="302">
        <v>90271.1</v>
      </c>
      <c r="H65" s="284">
        <v>0</v>
      </c>
      <c r="I65" s="284">
        <v>0</v>
      </c>
      <c r="J65" s="284">
        <v>0</v>
      </c>
      <c r="K65" s="284">
        <v>0</v>
      </c>
      <c r="L65" s="284">
        <v>0</v>
      </c>
      <c r="M65" s="284">
        <v>0</v>
      </c>
      <c r="N65" s="284">
        <v>0</v>
      </c>
      <c r="O65" s="284">
        <v>0</v>
      </c>
      <c r="P65" s="284">
        <v>0</v>
      </c>
      <c r="Q65" s="284">
        <v>0</v>
      </c>
      <c r="R65" s="284">
        <v>0</v>
      </c>
      <c r="S65" s="284">
        <v>0</v>
      </c>
      <c r="T65" s="284">
        <f t="shared" si="1"/>
        <v>0</v>
      </c>
      <c r="U65" s="303">
        <v>41244</v>
      </c>
      <c r="V65" s="432" t="s">
        <v>771</v>
      </c>
      <c r="W65" s="422" t="s">
        <v>756</v>
      </c>
      <c r="X65" s="305"/>
      <c r="Y65" s="305"/>
      <c r="Z65" s="305"/>
      <c r="AA65" s="305"/>
      <c r="AB65" s="305"/>
      <c r="AC65" s="306"/>
      <c r="AD65" s="307">
        <v>39680</v>
      </c>
      <c r="AE65" s="278">
        <f t="shared" ca="1" si="2"/>
        <v>2511</v>
      </c>
      <c r="AF65" s="299" t="s">
        <v>41</v>
      </c>
    </row>
    <row r="66" spans="1:37" s="311" customFormat="1" ht="30" customHeight="1" thickBot="1" x14ac:dyDescent="0.25">
      <c r="A66" s="431" t="s">
        <v>765</v>
      </c>
      <c r="B66" s="299" t="s">
        <v>773</v>
      </c>
      <c r="C66" s="299" t="s">
        <v>37</v>
      </c>
      <c r="D66" s="301" t="s">
        <v>88</v>
      </c>
      <c r="E66" s="301" t="s">
        <v>766</v>
      </c>
      <c r="F66" s="387">
        <v>29040</v>
      </c>
      <c r="G66" s="302">
        <v>30832.36</v>
      </c>
      <c r="H66" s="284">
        <v>2420</v>
      </c>
      <c r="I66" s="284">
        <v>2420</v>
      </c>
      <c r="J66" s="284">
        <v>2420</v>
      </c>
      <c r="K66" s="284">
        <v>2420</v>
      </c>
      <c r="L66" s="284">
        <v>2420</v>
      </c>
      <c r="M66" s="284">
        <v>2420</v>
      </c>
      <c r="N66" s="284">
        <v>2420</v>
      </c>
      <c r="O66" s="284">
        <v>2420</v>
      </c>
      <c r="P66" s="284">
        <v>2200</v>
      </c>
      <c r="Q66" s="284">
        <v>2200</v>
      </c>
      <c r="R66" s="284">
        <v>2200</v>
      </c>
      <c r="S66" s="284">
        <v>2200</v>
      </c>
      <c r="T66" s="284">
        <f t="shared" si="1"/>
        <v>28160</v>
      </c>
      <c r="U66" s="303">
        <v>41258</v>
      </c>
      <c r="V66" s="432" t="s">
        <v>983</v>
      </c>
      <c r="W66" s="422" t="s">
        <v>775</v>
      </c>
      <c r="X66" s="305"/>
      <c r="Y66" s="305"/>
      <c r="Z66" s="305"/>
      <c r="AA66" s="305"/>
      <c r="AB66" s="305"/>
      <c r="AC66" s="306">
        <v>40858</v>
      </c>
      <c r="AD66" s="307">
        <v>40527</v>
      </c>
      <c r="AE66" s="278">
        <f t="shared" ca="1" si="2"/>
        <v>1663</v>
      </c>
      <c r="AF66" s="310" t="s">
        <v>48</v>
      </c>
    </row>
    <row r="67" spans="1:37" s="311" customFormat="1" ht="30" customHeight="1" thickBot="1" x14ac:dyDescent="0.25">
      <c r="A67" s="431" t="s">
        <v>164</v>
      </c>
      <c r="B67" s="300" t="s">
        <v>1026</v>
      </c>
      <c r="C67" s="299" t="s">
        <v>37</v>
      </c>
      <c r="D67" s="301" t="s">
        <v>303</v>
      </c>
      <c r="E67" s="301" t="s">
        <v>167</v>
      </c>
      <c r="F67" s="387">
        <v>30000</v>
      </c>
      <c r="G67" s="302">
        <v>35559.599999999999</v>
      </c>
      <c r="H67" s="284"/>
      <c r="I67" s="284">
        <v>2784.52</v>
      </c>
      <c r="J67" s="284">
        <f>2784.52+920.53</f>
        <v>3705.05</v>
      </c>
      <c r="K67" s="284">
        <f>2784.52+920.53</f>
        <v>3705.05</v>
      </c>
      <c r="L67" s="284">
        <v>2784.52</v>
      </c>
      <c r="M67" s="284">
        <v>2784.52</v>
      </c>
      <c r="N67" s="284">
        <v>2784.62</v>
      </c>
      <c r="O67" s="284">
        <v>2963.3</v>
      </c>
      <c r="P67" s="284">
        <f>2784.42+920.53+219.77</f>
        <v>3924.72</v>
      </c>
      <c r="Q67" s="284">
        <f>2784.42+920.53+219.77</f>
        <v>3924.72</v>
      </c>
      <c r="R67" s="284"/>
      <c r="S67" s="284"/>
      <c r="T67" s="284">
        <f t="shared" si="1"/>
        <v>29361.02</v>
      </c>
      <c r="U67" s="309">
        <v>41269</v>
      </c>
      <c r="V67" s="432" t="s">
        <v>1013</v>
      </c>
      <c r="W67" s="422" t="s">
        <v>727</v>
      </c>
      <c r="X67" s="305"/>
      <c r="Y67" s="305"/>
      <c r="Z67" s="305"/>
      <c r="AA67" s="305"/>
      <c r="AB67" s="305"/>
      <c r="AC67" s="306">
        <v>40875</v>
      </c>
      <c r="AD67" s="307">
        <v>39080</v>
      </c>
      <c r="AE67" s="278">
        <f t="shared" ca="1" si="2"/>
        <v>3110</v>
      </c>
      <c r="AF67" s="299" t="s">
        <v>169</v>
      </c>
    </row>
    <row r="68" spans="1:37" s="311" customFormat="1" ht="30" hidden="1" customHeight="1" thickBot="1" x14ac:dyDescent="0.25">
      <c r="A68" s="431" t="s">
        <v>688</v>
      </c>
      <c r="B68" s="300" t="s">
        <v>689</v>
      </c>
      <c r="C68" s="299" t="s">
        <v>613</v>
      </c>
      <c r="D68" s="301" t="s">
        <v>690</v>
      </c>
      <c r="E68" s="301" t="s">
        <v>691</v>
      </c>
      <c r="F68" s="387">
        <v>24600</v>
      </c>
      <c r="G68" s="302">
        <v>24600</v>
      </c>
      <c r="H68" s="284">
        <v>0</v>
      </c>
      <c r="I68" s="284">
        <v>0</v>
      </c>
      <c r="J68" s="284">
        <v>0</v>
      </c>
      <c r="K68" s="284">
        <v>0</v>
      </c>
      <c r="L68" s="284">
        <v>0</v>
      </c>
      <c r="M68" s="284">
        <v>0</v>
      </c>
      <c r="N68" s="284">
        <v>0</v>
      </c>
      <c r="O68" s="284">
        <v>0</v>
      </c>
      <c r="P68" s="284">
        <v>0</v>
      </c>
      <c r="Q68" s="284">
        <v>0</v>
      </c>
      <c r="R68" s="284">
        <v>0</v>
      </c>
      <c r="S68" s="284">
        <v>0</v>
      </c>
      <c r="T68" s="284">
        <f t="shared" si="1"/>
        <v>0</v>
      </c>
      <c r="U68" s="303">
        <v>41322</v>
      </c>
      <c r="V68" s="432" t="s">
        <v>692</v>
      </c>
      <c r="W68" s="422" t="s">
        <v>758</v>
      </c>
      <c r="X68" s="305"/>
      <c r="Y68" s="305"/>
      <c r="Z68" s="305"/>
      <c r="AA68" s="305"/>
      <c r="AB68" s="305"/>
      <c r="AC68" s="306"/>
      <c r="AD68" s="307">
        <v>40227</v>
      </c>
      <c r="AE68" s="278">
        <f t="shared" ca="1" si="2"/>
        <v>1964</v>
      </c>
      <c r="AF68" s="299" t="s">
        <v>41</v>
      </c>
    </row>
    <row r="69" spans="1:37" s="311" customFormat="1" ht="30" hidden="1" customHeight="1" thickBot="1" x14ac:dyDescent="0.25">
      <c r="A69" s="444" t="s">
        <v>718</v>
      </c>
      <c r="B69" s="366" t="s">
        <v>719</v>
      </c>
      <c r="C69" s="366" t="s">
        <v>617</v>
      </c>
      <c r="D69" s="301" t="s">
        <v>379</v>
      </c>
      <c r="E69" s="301" t="s">
        <v>720</v>
      </c>
      <c r="F69" s="299" t="s">
        <v>721</v>
      </c>
      <c r="G69" s="302" t="s">
        <v>721</v>
      </c>
      <c r="H69" s="284">
        <v>0</v>
      </c>
      <c r="I69" s="284">
        <v>0</v>
      </c>
      <c r="J69" s="284">
        <v>0</v>
      </c>
      <c r="K69" s="284">
        <v>0</v>
      </c>
      <c r="L69" s="284">
        <v>0</v>
      </c>
      <c r="M69" s="284">
        <v>0</v>
      </c>
      <c r="N69" s="284">
        <v>0</v>
      </c>
      <c r="O69" s="284">
        <v>0</v>
      </c>
      <c r="P69" s="284">
        <v>0</v>
      </c>
      <c r="Q69" s="284">
        <v>0</v>
      </c>
      <c r="R69" s="284">
        <v>0</v>
      </c>
      <c r="S69" s="284">
        <v>0</v>
      </c>
      <c r="T69" s="284">
        <f t="shared" si="1"/>
        <v>0</v>
      </c>
      <c r="U69" s="303">
        <v>41546</v>
      </c>
      <c r="V69" s="438" t="s">
        <v>722</v>
      </c>
      <c r="W69" s="422" t="s">
        <v>745</v>
      </c>
      <c r="X69" s="305"/>
      <c r="Y69" s="305"/>
      <c r="Z69" s="305"/>
      <c r="AA69" s="305"/>
      <c r="AB69" s="305"/>
      <c r="AC69" s="306"/>
      <c r="AD69" s="307">
        <v>40451</v>
      </c>
      <c r="AE69" s="278">
        <f t="shared" ca="1" si="2"/>
        <v>1739</v>
      </c>
      <c r="AF69" s="299" t="s">
        <v>41</v>
      </c>
    </row>
    <row r="70" spans="1:37" s="311" customFormat="1" ht="30" customHeight="1" thickBot="1" x14ac:dyDescent="0.25">
      <c r="A70" s="439" t="s">
        <v>23</v>
      </c>
      <c r="B70" s="300" t="s">
        <v>23</v>
      </c>
      <c r="C70" s="299" t="s">
        <v>24</v>
      </c>
      <c r="D70" s="301" t="s">
        <v>303</v>
      </c>
      <c r="E70" s="349" t="s">
        <v>971</v>
      </c>
      <c r="F70" s="299" t="s">
        <v>972</v>
      </c>
      <c r="G70" s="302" t="s">
        <v>972</v>
      </c>
      <c r="H70" s="360">
        <v>0</v>
      </c>
      <c r="I70" s="360">
        <v>0</v>
      </c>
      <c r="J70" s="360">
        <v>0</v>
      </c>
      <c r="K70" s="360">
        <v>0</v>
      </c>
      <c r="L70" s="360">
        <v>0</v>
      </c>
      <c r="M70" s="360">
        <v>0</v>
      </c>
      <c r="N70" s="360">
        <v>0</v>
      </c>
      <c r="O70" s="360">
        <v>0</v>
      </c>
      <c r="P70" s="360"/>
      <c r="Q70" s="360"/>
      <c r="R70" s="360"/>
      <c r="S70" s="360"/>
      <c r="T70" s="360">
        <v>0</v>
      </c>
      <c r="U70" s="303">
        <v>41613</v>
      </c>
      <c r="V70" s="432" t="s">
        <v>970</v>
      </c>
      <c r="W70" s="422" t="s">
        <v>727</v>
      </c>
      <c r="X70" s="305"/>
      <c r="Y70" s="305"/>
      <c r="Z70" s="305"/>
      <c r="AA70" s="305"/>
      <c r="AB70" s="305"/>
      <c r="AC70" s="306"/>
      <c r="AD70" s="307"/>
      <c r="AE70" s="363"/>
      <c r="AF70" s="326"/>
    </row>
    <row r="71" spans="1:37" s="311" customFormat="1" ht="30" customHeight="1" thickBot="1" x14ac:dyDescent="0.25">
      <c r="A71" s="431" t="s">
        <v>1025</v>
      </c>
      <c r="B71" s="299" t="s">
        <v>667</v>
      </c>
      <c r="C71" s="299" t="s">
        <v>772</v>
      </c>
      <c r="D71" s="301" t="s">
        <v>856</v>
      </c>
      <c r="E71" s="301" t="s">
        <v>857</v>
      </c>
      <c r="F71" s="324" t="s">
        <v>859</v>
      </c>
      <c r="G71" s="302" t="s">
        <v>859</v>
      </c>
      <c r="H71" s="284">
        <v>0</v>
      </c>
      <c r="I71" s="284">
        <v>0</v>
      </c>
      <c r="J71" s="284">
        <v>0</v>
      </c>
      <c r="K71" s="284">
        <v>0</v>
      </c>
      <c r="L71" s="284">
        <v>0</v>
      </c>
      <c r="M71" s="284">
        <v>0</v>
      </c>
      <c r="N71" s="284">
        <v>0</v>
      </c>
      <c r="O71" s="284">
        <f>490.36+108.65</f>
        <v>599.01</v>
      </c>
      <c r="P71" s="284">
        <f>60.15+567.49</f>
        <v>627.64</v>
      </c>
      <c r="Q71" s="284">
        <f>120.25+457.49</f>
        <v>577.74</v>
      </c>
      <c r="R71" s="284">
        <v>547.44000000000005</v>
      </c>
      <c r="S71" s="284">
        <v>600.45000000000005</v>
      </c>
      <c r="T71" s="284">
        <f>SUM(H71:S71)</f>
        <v>2952.2799999999997</v>
      </c>
      <c r="U71" s="303">
        <v>41614</v>
      </c>
      <c r="V71" s="436" t="s">
        <v>860</v>
      </c>
      <c r="W71" s="279" t="s">
        <v>861</v>
      </c>
      <c r="X71" s="305"/>
      <c r="Y71" s="305"/>
      <c r="Z71" s="305"/>
      <c r="AA71" s="305"/>
      <c r="AB71" s="305"/>
      <c r="AC71" s="307"/>
      <c r="AD71" s="325">
        <v>40701</v>
      </c>
      <c r="AE71" s="278">
        <f ca="1">TODAY()-DATE(YEAR(AD71)+5,MONTH(AD71),DAY(AD71))</f>
        <v>1854</v>
      </c>
      <c r="AF71" s="299" t="s">
        <v>48</v>
      </c>
    </row>
    <row r="72" spans="1:37" s="311" customFormat="1" ht="30" customHeight="1" thickBot="1" x14ac:dyDescent="0.25">
      <c r="A72" s="439" t="s">
        <v>23</v>
      </c>
      <c r="B72" s="300" t="s">
        <v>23</v>
      </c>
      <c r="C72" s="299" t="s">
        <v>372</v>
      </c>
      <c r="D72" s="301" t="s">
        <v>967</v>
      </c>
      <c r="E72" s="349" t="s">
        <v>968</v>
      </c>
      <c r="F72" s="299" t="s">
        <v>972</v>
      </c>
      <c r="G72" s="302" t="s">
        <v>972</v>
      </c>
      <c r="H72" s="360">
        <v>0</v>
      </c>
      <c r="I72" s="360">
        <v>0</v>
      </c>
      <c r="J72" s="360">
        <v>0</v>
      </c>
      <c r="K72" s="360">
        <v>0</v>
      </c>
      <c r="L72" s="360">
        <v>0</v>
      </c>
      <c r="M72" s="360">
        <v>0</v>
      </c>
      <c r="N72" s="360">
        <v>0</v>
      </c>
      <c r="O72" s="360">
        <v>0</v>
      </c>
      <c r="P72" s="360"/>
      <c r="Q72" s="360"/>
      <c r="R72" s="360"/>
      <c r="S72" s="360"/>
      <c r="T72" s="360">
        <v>0</v>
      </c>
      <c r="U72" s="303" t="s">
        <v>233</v>
      </c>
      <c r="V72" s="432" t="s">
        <v>969</v>
      </c>
      <c r="W72" s="428" t="s">
        <v>998</v>
      </c>
      <c r="X72" s="305"/>
      <c r="Y72" s="305"/>
      <c r="Z72" s="305"/>
      <c r="AA72" s="305"/>
      <c r="AB72" s="305"/>
      <c r="AC72" s="306"/>
      <c r="AD72" s="307">
        <v>36819</v>
      </c>
      <c r="AE72" s="363"/>
      <c r="AF72" s="326" t="s">
        <v>54</v>
      </c>
    </row>
    <row r="73" spans="1:37" s="311" customFormat="1" ht="30" customHeight="1" thickBot="1" x14ac:dyDescent="0.25">
      <c r="A73" s="445" t="s">
        <v>902</v>
      </c>
      <c r="B73" s="410" t="s">
        <v>23</v>
      </c>
      <c r="C73" s="410" t="s">
        <v>56</v>
      </c>
      <c r="D73" s="411" t="s">
        <v>903</v>
      </c>
      <c r="E73" s="411" t="s">
        <v>904</v>
      </c>
      <c r="F73" s="412">
        <v>15900</v>
      </c>
      <c r="G73" s="413">
        <v>15900</v>
      </c>
      <c r="H73" s="414">
        <v>0</v>
      </c>
      <c r="I73" s="414">
        <v>0</v>
      </c>
      <c r="J73" s="414">
        <v>0</v>
      </c>
      <c r="K73" s="414">
        <v>0</v>
      </c>
      <c r="L73" s="414">
        <v>0</v>
      </c>
      <c r="M73" s="414">
        <v>0</v>
      </c>
      <c r="N73" s="414">
        <v>0</v>
      </c>
      <c r="O73" s="414">
        <v>0</v>
      </c>
      <c r="P73" s="414">
        <v>0</v>
      </c>
      <c r="Q73" s="414">
        <v>0</v>
      </c>
      <c r="R73" s="414">
        <v>15900</v>
      </c>
      <c r="S73" s="414">
        <v>0</v>
      </c>
      <c r="T73" s="414">
        <f>SUM(H73:S73)</f>
        <v>15900</v>
      </c>
      <c r="U73" s="415">
        <v>40847</v>
      </c>
      <c r="V73" s="446" t="s">
        <v>905</v>
      </c>
      <c r="W73" s="423" t="s">
        <v>911</v>
      </c>
      <c r="X73" s="305"/>
      <c r="Y73" s="305"/>
      <c r="Z73" s="305"/>
      <c r="AA73" s="305"/>
      <c r="AB73" s="305"/>
      <c r="AC73" s="306"/>
      <c r="AD73" s="307">
        <v>40812</v>
      </c>
      <c r="AE73" s="278"/>
      <c r="AF73" s="299" t="s">
        <v>48</v>
      </c>
    </row>
    <row r="74" spans="1:37" ht="19.5" customHeight="1" thickTop="1" x14ac:dyDescent="0.2">
      <c r="A74" s="52"/>
      <c r="B74" s="52"/>
      <c r="C74" s="52"/>
      <c r="E74" s="52"/>
      <c r="H74" s="260"/>
      <c r="I74" s="260"/>
      <c r="J74" s="260"/>
      <c r="K74" s="260"/>
      <c r="L74" s="260"/>
      <c r="M74" s="260"/>
      <c r="N74" s="260"/>
      <c r="O74" s="260"/>
      <c r="P74" s="260"/>
      <c r="Q74" s="260"/>
      <c r="R74" s="260"/>
      <c r="S74" s="261" t="s">
        <v>891</v>
      </c>
      <c r="T74" s="262">
        <f>SUM(T11:T73)</f>
        <v>2740795.4299999988</v>
      </c>
      <c r="U74" s="74"/>
    </row>
    <row r="75" spans="1:37" ht="20.100000000000001" customHeight="1" x14ac:dyDescent="0.2">
      <c r="A75" s="52"/>
      <c r="B75" s="52"/>
      <c r="C75" s="52"/>
      <c r="D75" s="53" t="s">
        <v>235</v>
      </c>
      <c r="E75" s="253" t="s">
        <v>239</v>
      </c>
      <c r="U75" s="74"/>
      <c r="AD75" s="927"/>
      <c r="AE75" s="927"/>
      <c r="AF75" s="927"/>
      <c r="AG75" s="927"/>
      <c r="AH75" s="927"/>
      <c r="AI75" s="927"/>
      <c r="AJ75" s="927"/>
      <c r="AK75" s="927"/>
    </row>
    <row r="76" spans="1:37" ht="20.100000000000001" customHeight="1" x14ac:dyDescent="0.2">
      <c r="A76" s="52"/>
      <c r="B76" s="52"/>
      <c r="C76" s="52"/>
      <c r="D76" s="53" t="s">
        <v>236</v>
      </c>
      <c r="E76" s="253" t="s">
        <v>388</v>
      </c>
      <c r="U76" s="74"/>
    </row>
    <row r="77" spans="1:37" ht="20.100000000000001" customHeight="1" x14ac:dyDescent="0.2">
      <c r="A77" s="52"/>
      <c r="B77" s="52"/>
      <c r="C77" s="52"/>
      <c r="D77" s="53" t="s">
        <v>237</v>
      </c>
      <c r="E77" s="253" t="s">
        <v>389</v>
      </c>
      <c r="U77" s="74"/>
    </row>
    <row r="78" spans="1:37" ht="20.100000000000001" customHeight="1" x14ac:dyDescent="0.2">
      <c r="D78" s="53" t="s">
        <v>238</v>
      </c>
      <c r="E78" s="253" t="s">
        <v>390</v>
      </c>
    </row>
    <row r="79" spans="1:37" ht="20.100000000000001" customHeight="1" x14ac:dyDescent="0.2">
      <c r="D79" s="1" t="s">
        <v>699</v>
      </c>
      <c r="E79" s="253" t="s">
        <v>702</v>
      </c>
    </row>
    <row r="80" spans="1:37" ht="20.100000000000001" customHeight="1" x14ac:dyDescent="0.2">
      <c r="E80" s="253" t="s">
        <v>858</v>
      </c>
    </row>
    <row r="81" spans="1:29" ht="20.100000000000001" customHeight="1" x14ac:dyDescent="0.2">
      <c r="E81" s="54" t="s">
        <v>938</v>
      </c>
    </row>
    <row r="83" spans="1:29" s="416" customFormat="1" ht="20.100000000000001" customHeight="1" x14ac:dyDescent="0.25">
      <c r="A83" s="420" t="s">
        <v>1031</v>
      </c>
      <c r="F83" s="417"/>
      <c r="G83" s="418"/>
      <c r="H83" s="418"/>
      <c r="I83" s="418"/>
      <c r="J83" s="418"/>
      <c r="K83" s="418"/>
      <c r="L83" s="418"/>
      <c r="M83" s="418"/>
      <c r="N83" s="418"/>
      <c r="O83" s="418"/>
      <c r="P83" s="418"/>
      <c r="Q83" s="418"/>
      <c r="R83" s="418"/>
      <c r="S83" s="418"/>
      <c r="T83" s="418"/>
      <c r="U83" s="419"/>
      <c r="V83" s="418"/>
      <c r="W83" s="417"/>
      <c r="AC83" s="419"/>
    </row>
  </sheetData>
  <mergeCells count="14">
    <mergeCell ref="W9:W10"/>
    <mergeCell ref="X9:AB9"/>
    <mergeCell ref="AC9:AC10"/>
    <mergeCell ref="AF9:AF10"/>
    <mergeCell ref="AD75:AK75"/>
    <mergeCell ref="A7:AF7"/>
    <mergeCell ref="A9:A10"/>
    <mergeCell ref="B9:B10"/>
    <mergeCell ref="C9:C10"/>
    <mergeCell ref="D9:D10"/>
    <mergeCell ref="E9:E10"/>
    <mergeCell ref="G9:G10"/>
    <mergeCell ref="U9:U10"/>
    <mergeCell ref="V9:V10"/>
  </mergeCells>
  <conditionalFormatting sqref="AE11:AE18">
    <cfRule type="expression" dxfId="48" priority="4" stopIfTrue="1">
      <formula>$AE11&gt;=-390</formula>
    </cfRule>
  </conditionalFormatting>
  <conditionalFormatting sqref="AE19:AE24 AE27 AE73 AE29:AE70">
    <cfRule type="expression" dxfId="47" priority="3" stopIfTrue="1">
      <formula>$AE19&gt;=-120</formula>
    </cfRule>
  </conditionalFormatting>
  <conditionalFormatting sqref="AE14">
    <cfRule type="expression" dxfId="46" priority="2" stopIfTrue="1">
      <formula>$AE14&gt;=-120</formula>
    </cfRule>
  </conditionalFormatting>
  <conditionalFormatting sqref="AE28">
    <cfRule type="expression" dxfId="45" priority="1" stopIfTrue="1">
      <formula>$AE28&gt;=-120</formula>
    </cfRule>
  </conditionalFormatting>
  <pageMargins left="0.19685039370078741" right="0.19685039370078741" top="0.39370078740157483" bottom="0.39370078740157483" header="0.19685039370078741" footer="0.19685039370078741"/>
  <pageSetup paperSize="9" scale="54" firstPageNumber="0" orientation="landscape" r:id="rId1"/>
  <headerFooter alignWithMargins="0">
    <oddFooter>&amp;C&amp;P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C17"/>
  <sheetViews>
    <sheetView workbookViewId="0">
      <selection activeCell="A13" sqref="A13"/>
    </sheetView>
  </sheetViews>
  <sheetFormatPr defaultColWidth="63.42578125" defaultRowHeight="12.75" x14ac:dyDescent="0.2"/>
  <cols>
    <col min="1" max="1" width="63.42578125" customWidth="1"/>
    <col min="2" max="2" width="68.140625" customWidth="1"/>
  </cols>
  <sheetData>
    <row r="8" spans="1:3" ht="13.5" thickBot="1" x14ac:dyDescent="0.25"/>
    <row r="9" spans="1:3" ht="13.5" thickTop="1" x14ac:dyDescent="0.2">
      <c r="A9" s="977" t="s">
        <v>5</v>
      </c>
      <c r="B9" s="979" t="s">
        <v>6</v>
      </c>
      <c r="C9" s="981" t="s">
        <v>1055</v>
      </c>
    </row>
    <row r="10" spans="1:3" x14ac:dyDescent="0.2">
      <c r="A10" s="978"/>
      <c r="B10" s="980"/>
      <c r="C10" s="982"/>
    </row>
    <row r="11" spans="1:3" ht="15" x14ac:dyDescent="0.2">
      <c r="A11" s="456" t="s">
        <v>260</v>
      </c>
      <c r="B11" s="457" t="s">
        <v>26</v>
      </c>
      <c r="C11" s="458">
        <v>40909</v>
      </c>
    </row>
    <row r="12" spans="1:3" ht="30" x14ac:dyDescent="0.2">
      <c r="A12" s="459" t="s">
        <v>637</v>
      </c>
      <c r="B12" s="460" t="s">
        <v>638</v>
      </c>
      <c r="C12" s="458">
        <v>40533</v>
      </c>
    </row>
    <row r="13" spans="1:3" ht="45" x14ac:dyDescent="0.2">
      <c r="A13" s="456" t="s">
        <v>782</v>
      </c>
      <c r="B13" s="457" t="s">
        <v>783</v>
      </c>
      <c r="C13" s="458">
        <v>40741</v>
      </c>
    </row>
    <row r="14" spans="1:3" ht="15" x14ac:dyDescent="0.2">
      <c r="A14" s="456" t="s">
        <v>810</v>
      </c>
      <c r="B14" s="457" t="s">
        <v>79</v>
      </c>
      <c r="C14" s="458">
        <v>40664</v>
      </c>
    </row>
    <row r="15" spans="1:3" ht="30" x14ac:dyDescent="0.2">
      <c r="A15" s="456" t="s">
        <v>873</v>
      </c>
      <c r="B15" s="457" t="s">
        <v>874</v>
      </c>
      <c r="C15" s="458">
        <v>40781</v>
      </c>
    </row>
    <row r="16" spans="1:3" ht="30.75" thickBot="1" x14ac:dyDescent="0.25">
      <c r="A16" s="461" t="s">
        <v>594</v>
      </c>
      <c r="B16" s="462" t="s">
        <v>595</v>
      </c>
      <c r="C16" s="463">
        <v>40688</v>
      </c>
    </row>
    <row r="17" ht="13.5" thickTop="1" x14ac:dyDescent="0.2"/>
  </sheetData>
  <mergeCells count="3">
    <mergeCell ref="A9:A10"/>
    <mergeCell ref="B9:B10"/>
    <mergeCell ref="C9:C10"/>
  </mergeCells>
  <pageMargins left="0.31496062992125984" right="0.31496062992125984" top="0.78740157480314965" bottom="0.78740157480314965" header="0.31496062992125984" footer="0.31496062992125984"/>
  <pageSetup paperSize="9" scale="72" orientation="landscape"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62"/>
  <sheetViews>
    <sheetView topLeftCell="D14" zoomScale="85" zoomScaleNormal="85" workbookViewId="0">
      <selection activeCell="AG19" sqref="AG19"/>
    </sheetView>
  </sheetViews>
  <sheetFormatPr defaultColWidth="12.5703125" defaultRowHeight="12.75" x14ac:dyDescent="0.2"/>
  <cols>
    <col min="1" max="1" width="11.42578125" hidden="1" customWidth="1"/>
    <col min="2" max="2" width="13.28515625" hidden="1" customWidth="1"/>
    <col min="3" max="3" width="13" hidden="1" customWidth="1"/>
    <col min="4" max="4" width="42.5703125" customWidth="1"/>
    <col min="5" max="5" width="75.5703125" bestFit="1" customWidth="1"/>
    <col min="6" max="6" width="14.5703125" customWidth="1"/>
    <col min="7" max="7" width="11.85546875" customWidth="1"/>
    <col min="8" max="8" width="11.42578125" customWidth="1"/>
    <col min="9" max="9" width="12.140625" customWidth="1"/>
    <col min="10" max="10" width="11.140625" customWidth="1"/>
    <col min="11" max="14" width="9.42578125" hidden="1" customWidth="1"/>
    <col min="15" max="15" width="11.28515625" hidden="1" customWidth="1"/>
    <col min="16" max="16" width="11" hidden="1" customWidth="1"/>
    <col min="17" max="17" width="11.7109375" hidden="1" customWidth="1"/>
    <col min="18" max="18" width="11.140625" hidden="1" customWidth="1"/>
    <col min="19" max="19" width="18.5703125" hidden="1" customWidth="1"/>
    <col min="20" max="20" width="9.140625" hidden="1" customWidth="1"/>
    <col min="21" max="21" width="12.28515625" hidden="1" customWidth="1"/>
    <col min="22" max="22" width="35" hidden="1" customWidth="1"/>
    <col min="23" max="23" width="17.5703125" hidden="1" customWidth="1"/>
    <col min="24" max="24" width="3.42578125" hidden="1" customWidth="1"/>
    <col min="25" max="25" width="3.7109375" hidden="1" customWidth="1"/>
    <col min="26" max="26" width="5.140625" hidden="1" customWidth="1"/>
    <col min="27" max="27" width="4.5703125" hidden="1" customWidth="1"/>
    <col min="28" max="28" width="6" hidden="1" customWidth="1"/>
    <col min="29" max="29" width="10.140625" hidden="1" customWidth="1"/>
    <col min="30" max="30" width="12" hidden="1" customWidth="1"/>
    <col min="31" max="31" width="14.140625" hidden="1" customWidth="1"/>
    <col min="32" max="32" width="8.7109375" customWidth="1"/>
  </cols>
  <sheetData>
    <row r="1" spans="1:32" ht="15.75" x14ac:dyDescent="0.25">
      <c r="AE1" s="354" t="s">
        <v>0</v>
      </c>
    </row>
    <row r="2" spans="1:32" ht="16.5" thickBot="1" x14ac:dyDescent="0.3">
      <c r="AE2" s="355">
        <f ca="1">TODAY()</f>
        <v>44382</v>
      </c>
    </row>
    <row r="3" spans="1:32" s="265" customFormat="1" ht="30" customHeight="1" thickTop="1" thickBot="1" x14ac:dyDescent="0.25">
      <c r="A3" s="956" t="s">
        <v>2</v>
      </c>
      <c r="B3" s="958" t="s">
        <v>3</v>
      </c>
      <c r="C3" s="958" t="s">
        <v>4</v>
      </c>
      <c r="D3" s="960" t="s">
        <v>5</v>
      </c>
      <c r="E3" s="960" t="s">
        <v>6</v>
      </c>
      <c r="F3" s="960" t="s">
        <v>7</v>
      </c>
      <c r="G3" s="961" t="s">
        <v>1018</v>
      </c>
      <c r="H3" s="961"/>
      <c r="I3" s="961"/>
      <c r="J3" s="961"/>
      <c r="K3" s="961"/>
      <c r="L3" s="961"/>
      <c r="M3" s="961"/>
      <c r="N3" s="961"/>
      <c r="O3" s="961"/>
      <c r="P3" s="961"/>
      <c r="Q3" s="961"/>
      <c r="R3" s="961"/>
      <c r="S3" s="961"/>
      <c r="T3" s="958" t="s">
        <v>241</v>
      </c>
      <c r="U3" s="962" t="s">
        <v>8</v>
      </c>
      <c r="V3" s="960" t="s">
        <v>9</v>
      </c>
      <c r="W3" s="960" t="s">
        <v>10</v>
      </c>
      <c r="X3" s="964" t="s">
        <v>11</v>
      </c>
      <c r="Y3" s="964"/>
      <c r="Z3" s="964"/>
      <c r="AA3" s="964"/>
      <c r="AB3" s="964"/>
      <c r="AC3" s="962" t="s">
        <v>835</v>
      </c>
      <c r="AD3" s="263" t="s">
        <v>984</v>
      </c>
      <c r="AE3" s="264" t="s">
        <v>820</v>
      </c>
      <c r="AF3" s="965" t="s">
        <v>15</v>
      </c>
    </row>
    <row r="4" spans="1:32" s="265" customFormat="1" ht="30" customHeight="1" thickTop="1" thickBot="1" x14ac:dyDescent="0.25">
      <c r="A4" s="957"/>
      <c r="B4" s="959"/>
      <c r="C4" s="959"/>
      <c r="D4" s="958"/>
      <c r="E4" s="958"/>
      <c r="F4" s="958"/>
      <c r="G4" s="266" t="s">
        <v>822</v>
      </c>
      <c r="H4" s="266" t="s">
        <v>823</v>
      </c>
      <c r="I4" s="266" t="s">
        <v>824</v>
      </c>
      <c r="J4" s="266" t="s">
        <v>825</v>
      </c>
      <c r="K4" s="266" t="s">
        <v>826</v>
      </c>
      <c r="L4" s="266" t="s">
        <v>827</v>
      </c>
      <c r="M4" s="266" t="s">
        <v>828</v>
      </c>
      <c r="N4" s="266" t="s">
        <v>829</v>
      </c>
      <c r="O4" s="266" t="s">
        <v>830</v>
      </c>
      <c r="P4" s="266" t="s">
        <v>831</v>
      </c>
      <c r="Q4" s="266" t="s">
        <v>832</v>
      </c>
      <c r="R4" s="266" t="s">
        <v>833</v>
      </c>
      <c r="S4" s="266" t="s">
        <v>1020</v>
      </c>
      <c r="T4" s="958"/>
      <c r="U4" s="963"/>
      <c r="V4" s="958"/>
      <c r="W4" s="958"/>
      <c r="X4" s="267" t="s">
        <v>16</v>
      </c>
      <c r="Y4" s="267" t="s">
        <v>17</v>
      </c>
      <c r="Z4" s="267" t="s">
        <v>18</v>
      </c>
      <c r="AA4" s="267" t="s">
        <v>19</v>
      </c>
      <c r="AB4" s="267" t="s">
        <v>20</v>
      </c>
      <c r="AC4" s="963"/>
      <c r="AD4" s="378" t="s">
        <v>469</v>
      </c>
      <c r="AE4" s="269" t="s">
        <v>244</v>
      </c>
      <c r="AF4" s="966"/>
    </row>
    <row r="5" spans="1:32" s="279" customFormat="1" ht="30" customHeight="1" thickBot="1" x14ac:dyDescent="0.25">
      <c r="A5" s="449" t="s">
        <v>839</v>
      </c>
      <c r="B5" s="449" t="s">
        <v>23</v>
      </c>
      <c r="C5" s="449" t="s">
        <v>24</v>
      </c>
      <c r="D5" s="281" t="s">
        <v>684</v>
      </c>
      <c r="E5" s="281" t="s">
        <v>685</v>
      </c>
      <c r="F5" s="282" t="s">
        <v>686</v>
      </c>
      <c r="G5" s="283"/>
      <c r="H5" s="283"/>
      <c r="I5" s="283"/>
      <c r="J5" s="283"/>
      <c r="K5" s="283"/>
      <c r="L5" s="283"/>
      <c r="M5" s="283"/>
      <c r="N5" s="283"/>
      <c r="O5" s="283"/>
      <c r="P5" s="283"/>
      <c r="Q5" s="283"/>
      <c r="R5" s="283"/>
      <c r="S5" s="284">
        <f t="shared" ref="S5:S36" si="0">SUM(G5:R5)</f>
        <v>0</v>
      </c>
      <c r="T5" s="274">
        <f t="shared" ref="T5:T36" ca="1" si="1">U5-$AE$2</f>
        <v>-3315</v>
      </c>
      <c r="U5" s="285">
        <v>41067</v>
      </c>
      <c r="V5" s="296" t="s">
        <v>854</v>
      </c>
      <c r="W5" s="298" t="s">
        <v>741</v>
      </c>
      <c r="X5" s="287"/>
      <c r="Y5" s="287"/>
      <c r="Z5" s="287"/>
      <c r="AA5" s="287"/>
      <c r="AB5" s="287"/>
      <c r="AC5" s="288"/>
      <c r="AD5" s="289">
        <v>40336</v>
      </c>
      <c r="AE5" s="278">
        <f ca="1">TODAY()-DATE(YEAR(AD5)+6,MONTH(AD5),DAY(AD5))</f>
        <v>1854</v>
      </c>
      <c r="AF5" s="280">
        <v>1</v>
      </c>
    </row>
    <row r="6" spans="1:32" s="279" customFormat="1" ht="30" customHeight="1" thickBot="1" x14ac:dyDescent="0.25">
      <c r="A6" s="280" t="s">
        <v>636</v>
      </c>
      <c r="B6" s="280" t="s">
        <v>507</v>
      </c>
      <c r="C6" s="280" t="s">
        <v>772</v>
      </c>
      <c r="D6" s="464" t="s">
        <v>935</v>
      </c>
      <c r="E6" s="464" t="s">
        <v>936</v>
      </c>
      <c r="F6" s="282" t="s">
        <v>937</v>
      </c>
      <c r="G6" s="283"/>
      <c r="H6" s="283"/>
      <c r="I6" s="283"/>
      <c r="J6" s="283"/>
      <c r="K6" s="283"/>
      <c r="L6" s="283"/>
      <c r="M6" s="283"/>
      <c r="N6" s="283"/>
      <c r="O6" s="283"/>
      <c r="P6" s="283"/>
      <c r="Q6" s="283"/>
      <c r="R6" s="283"/>
      <c r="S6" s="284">
        <f t="shared" si="0"/>
        <v>0</v>
      </c>
      <c r="T6" s="274">
        <f t="shared" ca="1" si="1"/>
        <v>-3415</v>
      </c>
      <c r="U6" s="285">
        <v>40967</v>
      </c>
      <c r="V6" s="296" t="s">
        <v>1016</v>
      </c>
      <c r="W6" s="465"/>
      <c r="X6" s="287"/>
      <c r="Y6" s="287"/>
      <c r="Z6" s="287"/>
      <c r="AA6" s="287"/>
      <c r="AB6" s="287"/>
      <c r="AC6" s="288"/>
      <c r="AD6" s="289">
        <v>40876</v>
      </c>
      <c r="AE6" s="278"/>
      <c r="AF6" s="280" t="s">
        <v>947</v>
      </c>
    </row>
    <row r="7" spans="1:32" s="311" customFormat="1" ht="30" customHeight="1" thickBot="1" x14ac:dyDescent="0.25">
      <c r="A7" s="299" t="s">
        <v>781</v>
      </c>
      <c r="B7" s="299" t="s">
        <v>790</v>
      </c>
      <c r="C7" s="299" t="s">
        <v>37</v>
      </c>
      <c r="D7" s="301" t="s">
        <v>198</v>
      </c>
      <c r="E7" s="301" t="s">
        <v>818</v>
      </c>
      <c r="F7" s="302">
        <v>2601.12</v>
      </c>
      <c r="G7" s="284"/>
      <c r="H7" s="284"/>
      <c r="I7" s="284"/>
      <c r="J7" s="284"/>
      <c r="K7" s="284"/>
      <c r="L7" s="284"/>
      <c r="M7" s="284"/>
      <c r="N7" s="284"/>
      <c r="O7" s="284"/>
      <c r="P7" s="284"/>
      <c r="Q7" s="284"/>
      <c r="R7" s="284"/>
      <c r="S7" s="284">
        <f t="shared" si="0"/>
        <v>0</v>
      </c>
      <c r="T7" s="274">
        <f t="shared" ca="1" si="1"/>
        <v>-3049</v>
      </c>
      <c r="U7" s="303">
        <v>41333</v>
      </c>
      <c r="V7" s="304" t="s">
        <v>976</v>
      </c>
      <c r="W7" s="362" t="s">
        <v>735</v>
      </c>
      <c r="X7" s="305"/>
      <c r="Y7" s="305"/>
      <c r="Z7" s="305"/>
      <c r="AA7" s="305"/>
      <c r="AB7" s="305"/>
      <c r="AC7" s="306"/>
      <c r="AD7" s="307">
        <v>40603</v>
      </c>
      <c r="AE7" s="278">
        <f t="shared" ref="AE7:AE26" ca="1" si="2">TODAY()-DATE(YEAR(AD7)+6,MONTH(AD7),DAY(AD7))</f>
        <v>1587</v>
      </c>
      <c r="AF7" s="299" t="s">
        <v>201</v>
      </c>
    </row>
    <row r="8" spans="1:32" s="311" customFormat="1" ht="30" customHeight="1" thickBot="1" x14ac:dyDescent="0.25">
      <c r="A8" s="299" t="s">
        <v>599</v>
      </c>
      <c r="B8" s="299" t="s">
        <v>600</v>
      </c>
      <c r="C8" s="299" t="s">
        <v>613</v>
      </c>
      <c r="D8" s="301" t="s">
        <v>260</v>
      </c>
      <c r="E8" s="301" t="s">
        <v>26</v>
      </c>
      <c r="F8" s="302" t="s">
        <v>354</v>
      </c>
      <c r="G8" s="284"/>
      <c r="H8" s="284"/>
      <c r="I8" s="284"/>
      <c r="J8" s="284"/>
      <c r="K8" s="284"/>
      <c r="L8" s="284"/>
      <c r="M8" s="284"/>
      <c r="N8" s="284"/>
      <c r="O8" s="284"/>
      <c r="P8" s="284"/>
      <c r="Q8" s="284"/>
      <c r="R8" s="284"/>
      <c r="S8" s="284">
        <f t="shared" si="0"/>
        <v>0</v>
      </c>
      <c r="T8" s="274">
        <f t="shared" ca="1" si="1"/>
        <v>-4436</v>
      </c>
      <c r="U8" s="303">
        <v>39946</v>
      </c>
      <c r="V8" s="310" t="s">
        <v>804</v>
      </c>
      <c r="W8" s="310" t="s">
        <v>841</v>
      </c>
      <c r="X8" s="305"/>
      <c r="Y8" s="305"/>
      <c r="Z8" s="305"/>
      <c r="AA8" s="305"/>
      <c r="AB8" s="305"/>
      <c r="AC8" s="306">
        <v>39916</v>
      </c>
      <c r="AD8" s="307">
        <v>39576</v>
      </c>
      <c r="AE8" s="278">
        <f t="shared" ca="1" si="2"/>
        <v>2615</v>
      </c>
      <c r="AF8" s="299" t="s">
        <v>29</v>
      </c>
    </row>
    <row r="9" spans="1:32" s="311" customFormat="1" ht="30" customHeight="1" thickBot="1" x14ac:dyDescent="0.25">
      <c r="A9" s="348" t="s">
        <v>934</v>
      </c>
      <c r="B9" s="299" t="s">
        <v>23</v>
      </c>
      <c r="C9" s="299" t="s">
        <v>61</v>
      </c>
      <c r="D9" s="301" t="s">
        <v>873</v>
      </c>
      <c r="E9" s="301" t="s">
        <v>874</v>
      </c>
      <c r="F9" s="302" t="s">
        <v>875</v>
      </c>
      <c r="G9" s="360"/>
      <c r="H9" s="360"/>
      <c r="I9" s="360"/>
      <c r="J9" s="360"/>
      <c r="K9" s="360"/>
      <c r="L9" s="360"/>
      <c r="M9" s="360"/>
      <c r="N9" s="360"/>
      <c r="O9" s="360"/>
      <c r="P9" s="360"/>
      <c r="Q9" s="360"/>
      <c r="R9" s="360"/>
      <c r="S9" s="360">
        <f t="shared" si="0"/>
        <v>0</v>
      </c>
      <c r="T9" s="361">
        <f t="shared" ca="1" si="1"/>
        <v>-3236</v>
      </c>
      <c r="U9" s="303">
        <v>41146</v>
      </c>
      <c r="V9" s="466" t="s">
        <v>876</v>
      </c>
      <c r="W9" s="467" t="s">
        <v>840</v>
      </c>
      <c r="X9" s="305"/>
      <c r="Y9" s="305"/>
      <c r="Z9" s="305"/>
      <c r="AA9" s="305"/>
      <c r="AB9" s="305"/>
      <c r="AC9" s="307"/>
      <c r="AD9" s="307">
        <v>40781</v>
      </c>
      <c r="AE9" s="363">
        <f t="shared" ca="1" si="2"/>
        <v>1409</v>
      </c>
      <c r="AF9" s="299" t="s">
        <v>34</v>
      </c>
    </row>
    <row r="10" spans="1:32" s="311" customFormat="1" ht="30" customHeight="1" thickBot="1" x14ac:dyDescent="0.25">
      <c r="A10" s="321" t="s">
        <v>845</v>
      </c>
      <c r="B10" s="299" t="s">
        <v>23</v>
      </c>
      <c r="C10" s="299" t="s">
        <v>61</v>
      </c>
      <c r="D10" s="301" t="s">
        <v>260</v>
      </c>
      <c r="E10" s="301" t="s">
        <v>656</v>
      </c>
      <c r="F10" s="302" t="s">
        <v>842</v>
      </c>
      <c r="G10" s="284"/>
      <c r="H10" s="284"/>
      <c r="I10" s="284"/>
      <c r="J10" s="284"/>
      <c r="K10" s="284"/>
      <c r="L10" s="284"/>
      <c r="M10" s="284"/>
      <c r="N10" s="284"/>
      <c r="O10" s="284"/>
      <c r="P10" s="284"/>
      <c r="Q10" s="284"/>
      <c r="R10" s="284"/>
      <c r="S10" s="284">
        <f t="shared" si="0"/>
        <v>0</v>
      </c>
      <c r="T10" s="274">
        <f t="shared" ca="1" si="1"/>
        <v>-3200</v>
      </c>
      <c r="U10" s="309">
        <v>41182</v>
      </c>
      <c r="V10" s="304" t="s">
        <v>949</v>
      </c>
      <c r="W10" s="310" t="s">
        <v>841</v>
      </c>
      <c r="X10" s="305"/>
      <c r="Y10" s="305"/>
      <c r="Z10" s="305"/>
      <c r="AA10" s="305"/>
      <c r="AB10" s="305"/>
      <c r="AC10" s="306"/>
      <c r="AD10" s="307">
        <v>39356</v>
      </c>
      <c r="AE10" s="278">
        <f t="shared" ca="1" si="2"/>
        <v>2834</v>
      </c>
      <c r="AF10" s="299" t="s">
        <v>34</v>
      </c>
    </row>
    <row r="11" spans="1:32" s="311" customFormat="1" ht="30" customHeight="1" thickBot="1" x14ac:dyDescent="0.25">
      <c r="A11" s="321" t="s">
        <v>583</v>
      </c>
      <c r="B11" s="299" t="s">
        <v>23</v>
      </c>
      <c r="C11" s="299" t="s">
        <v>61</v>
      </c>
      <c r="D11" s="301" t="s">
        <v>176</v>
      </c>
      <c r="E11" s="301" t="s">
        <v>310</v>
      </c>
      <c r="F11" s="302" t="s">
        <v>802</v>
      </c>
      <c r="G11" s="284"/>
      <c r="H11" s="284"/>
      <c r="I11" s="284"/>
      <c r="J11" s="284"/>
      <c r="K11" s="284"/>
      <c r="L11" s="284"/>
      <c r="M11" s="284"/>
      <c r="N11" s="284"/>
      <c r="O11" s="284"/>
      <c r="P11" s="284"/>
      <c r="Q11" s="284"/>
      <c r="R11" s="284"/>
      <c r="S11" s="284">
        <f t="shared" si="0"/>
        <v>0</v>
      </c>
      <c r="T11" s="274">
        <f t="shared" ca="1" si="1"/>
        <v>-3053</v>
      </c>
      <c r="U11" s="303">
        <v>41329</v>
      </c>
      <c r="V11" s="304" t="s">
        <v>975</v>
      </c>
      <c r="W11" s="362" t="s">
        <v>729</v>
      </c>
      <c r="X11" s="305"/>
      <c r="Y11" s="305"/>
      <c r="Z11" s="305"/>
      <c r="AA11" s="305"/>
      <c r="AB11" s="305"/>
      <c r="AC11" s="306"/>
      <c r="AD11" s="307">
        <v>40599</v>
      </c>
      <c r="AE11" s="278">
        <f t="shared" ca="1" si="2"/>
        <v>1591</v>
      </c>
      <c r="AF11" s="299" t="s">
        <v>179</v>
      </c>
    </row>
    <row r="12" spans="1:32" s="311" customFormat="1" ht="30" customHeight="1" thickBot="1" x14ac:dyDescent="0.25">
      <c r="A12" s="299" t="s">
        <v>1049</v>
      </c>
      <c r="B12" s="299" t="s">
        <v>23</v>
      </c>
      <c r="C12" s="299" t="s">
        <v>61</v>
      </c>
      <c r="D12" s="312" t="s">
        <v>637</v>
      </c>
      <c r="E12" s="312" t="s">
        <v>638</v>
      </c>
      <c r="F12" s="313">
        <v>26882.400000000001</v>
      </c>
      <c r="G12" s="314"/>
      <c r="H12" s="314"/>
      <c r="I12" s="314"/>
      <c r="J12" s="314"/>
      <c r="K12" s="314"/>
      <c r="L12" s="314"/>
      <c r="M12" s="314"/>
      <c r="N12" s="314"/>
      <c r="O12" s="314"/>
      <c r="P12" s="314"/>
      <c r="Q12" s="314"/>
      <c r="R12" s="314"/>
      <c r="S12" s="284">
        <f t="shared" si="0"/>
        <v>0</v>
      </c>
      <c r="T12" s="274">
        <f t="shared" ca="1" si="1"/>
        <v>-3849</v>
      </c>
      <c r="U12" s="303">
        <v>40533</v>
      </c>
      <c r="V12" s="310" t="s">
        <v>804</v>
      </c>
      <c r="W12" s="362" t="s">
        <v>725</v>
      </c>
      <c r="X12" s="305"/>
      <c r="Y12" s="305"/>
      <c r="Z12" s="305"/>
      <c r="AA12" s="305"/>
      <c r="AB12" s="305"/>
      <c r="AC12" s="303">
        <v>40504</v>
      </c>
      <c r="AD12" s="316">
        <v>40169</v>
      </c>
      <c r="AE12" s="278">
        <f t="shared" ca="1" si="2"/>
        <v>2022</v>
      </c>
      <c r="AF12" s="299" t="s">
        <v>41</v>
      </c>
    </row>
    <row r="13" spans="1:32" s="311" customFormat="1" ht="30" customHeight="1" thickBot="1" x14ac:dyDescent="0.25">
      <c r="A13" s="299" t="s">
        <v>677</v>
      </c>
      <c r="B13" s="322" t="s">
        <v>678</v>
      </c>
      <c r="C13" s="299" t="s">
        <v>37</v>
      </c>
      <c r="D13" s="301" t="s">
        <v>782</v>
      </c>
      <c r="E13" s="301" t="s">
        <v>783</v>
      </c>
      <c r="F13" s="302" t="s">
        <v>784</v>
      </c>
      <c r="G13" s="284"/>
      <c r="H13" s="284"/>
      <c r="I13" s="284"/>
      <c r="J13" s="284"/>
      <c r="K13" s="284"/>
      <c r="L13" s="284"/>
      <c r="M13" s="284"/>
      <c r="N13" s="284"/>
      <c r="O13" s="284"/>
      <c r="P13" s="284"/>
      <c r="Q13" s="284"/>
      <c r="R13" s="284"/>
      <c r="S13" s="284">
        <f t="shared" si="0"/>
        <v>0</v>
      </c>
      <c r="T13" s="274">
        <f t="shared" ca="1" si="1"/>
        <v>-3641</v>
      </c>
      <c r="U13" s="309">
        <v>40741</v>
      </c>
      <c r="V13" s="304" t="s">
        <v>785</v>
      </c>
      <c r="W13" s="310" t="s">
        <v>789</v>
      </c>
      <c r="X13" s="305"/>
      <c r="Y13" s="305"/>
      <c r="Z13" s="305"/>
      <c r="AA13" s="305"/>
      <c r="AB13" s="305"/>
      <c r="AC13" s="306">
        <v>40711</v>
      </c>
      <c r="AD13" s="307">
        <v>40561</v>
      </c>
      <c r="AE13" s="278">
        <f t="shared" ca="1" si="2"/>
        <v>1629</v>
      </c>
      <c r="AF13" s="299" t="s">
        <v>41</v>
      </c>
    </row>
    <row r="14" spans="1:32" s="311" customFormat="1" ht="30" customHeight="1" thickBot="1" x14ac:dyDescent="0.25">
      <c r="A14" s="299" t="s">
        <v>682</v>
      </c>
      <c r="B14" s="299" t="s">
        <v>683</v>
      </c>
      <c r="C14" s="299" t="s">
        <v>37</v>
      </c>
      <c r="D14" s="301" t="s">
        <v>333</v>
      </c>
      <c r="E14" s="301" t="s">
        <v>846</v>
      </c>
      <c r="F14" s="302">
        <v>1200</v>
      </c>
      <c r="G14" s="284"/>
      <c r="H14" s="284"/>
      <c r="I14" s="284"/>
      <c r="J14" s="284"/>
      <c r="K14" s="284"/>
      <c r="L14" s="284"/>
      <c r="M14" s="284"/>
      <c r="N14" s="284"/>
      <c r="O14" s="284"/>
      <c r="P14" s="284"/>
      <c r="Q14" s="284"/>
      <c r="R14" s="284"/>
      <c r="S14" s="284">
        <f t="shared" si="0"/>
        <v>0</v>
      </c>
      <c r="T14" s="274">
        <f t="shared" ca="1" si="1"/>
        <v>-3370</v>
      </c>
      <c r="U14" s="303">
        <v>41012</v>
      </c>
      <c r="V14" s="304" t="s">
        <v>847</v>
      </c>
      <c r="W14" s="362" t="s">
        <v>863</v>
      </c>
      <c r="X14" s="305"/>
      <c r="Y14" s="305"/>
      <c r="Z14" s="305"/>
      <c r="AA14" s="305"/>
      <c r="AB14" s="305"/>
      <c r="AC14" s="306"/>
      <c r="AD14" s="307">
        <v>40647</v>
      </c>
      <c r="AE14" s="278">
        <f t="shared" ca="1" si="2"/>
        <v>1543</v>
      </c>
      <c r="AF14" s="299" t="s">
        <v>41</v>
      </c>
    </row>
    <row r="15" spans="1:32" s="311" customFormat="1" ht="30" customHeight="1" thickBot="1" x14ac:dyDescent="0.25">
      <c r="A15" s="299" t="s">
        <v>589</v>
      </c>
      <c r="B15" s="299" t="s">
        <v>590</v>
      </c>
      <c r="C15" s="299" t="s">
        <v>56</v>
      </c>
      <c r="D15" s="301" t="s">
        <v>38</v>
      </c>
      <c r="E15" s="301" t="s">
        <v>679</v>
      </c>
      <c r="F15" s="302">
        <v>79590</v>
      </c>
      <c r="G15" s="284"/>
      <c r="H15" s="284"/>
      <c r="I15" s="284"/>
      <c r="J15" s="284"/>
      <c r="K15" s="284"/>
      <c r="L15" s="284"/>
      <c r="M15" s="284"/>
      <c r="N15" s="284"/>
      <c r="O15" s="284"/>
      <c r="P15" s="284"/>
      <c r="Q15" s="284"/>
      <c r="R15" s="284"/>
      <c r="S15" s="284">
        <f t="shared" si="0"/>
        <v>0</v>
      </c>
      <c r="T15" s="274">
        <f t="shared" ca="1" si="1"/>
        <v>-3333</v>
      </c>
      <c r="U15" s="303">
        <v>41049</v>
      </c>
      <c r="V15" s="304" t="s">
        <v>844</v>
      </c>
      <c r="W15" s="362" t="s">
        <v>739</v>
      </c>
      <c r="X15" s="305"/>
      <c r="Y15" s="305"/>
      <c r="Z15" s="305"/>
      <c r="AA15" s="305"/>
      <c r="AB15" s="305"/>
      <c r="AC15" s="306"/>
      <c r="AD15" s="307">
        <v>40318</v>
      </c>
      <c r="AE15" s="278">
        <f t="shared" ca="1" si="2"/>
        <v>1872</v>
      </c>
      <c r="AF15" s="299" t="s">
        <v>41</v>
      </c>
    </row>
    <row r="16" spans="1:32" s="311" customFormat="1" ht="30" customHeight="1" thickBot="1" x14ac:dyDescent="0.25">
      <c r="A16" s="299" t="s">
        <v>579</v>
      </c>
      <c r="B16" s="299" t="s">
        <v>23</v>
      </c>
      <c r="C16" s="299" t="s">
        <v>56</v>
      </c>
      <c r="D16" s="301" t="s">
        <v>414</v>
      </c>
      <c r="E16" s="301" t="s">
        <v>415</v>
      </c>
      <c r="F16" s="302">
        <v>90271.1</v>
      </c>
      <c r="G16" s="284"/>
      <c r="H16" s="284"/>
      <c r="I16" s="284"/>
      <c r="J16" s="284"/>
      <c r="K16" s="284"/>
      <c r="L16" s="284"/>
      <c r="M16" s="284"/>
      <c r="N16" s="284"/>
      <c r="O16" s="284"/>
      <c r="P16" s="284"/>
      <c r="Q16" s="284"/>
      <c r="R16" s="284"/>
      <c r="S16" s="284">
        <f t="shared" si="0"/>
        <v>0</v>
      </c>
      <c r="T16" s="274">
        <f t="shared" ca="1" si="1"/>
        <v>-3241</v>
      </c>
      <c r="U16" s="303">
        <v>41141</v>
      </c>
      <c r="V16" s="304" t="s">
        <v>771</v>
      </c>
      <c r="W16" s="362" t="s">
        <v>756</v>
      </c>
      <c r="X16" s="305"/>
      <c r="Y16" s="305"/>
      <c r="Z16" s="305"/>
      <c r="AA16" s="305"/>
      <c r="AB16" s="305"/>
      <c r="AC16" s="306"/>
      <c r="AD16" s="307">
        <v>39680</v>
      </c>
      <c r="AE16" s="278">
        <f t="shared" ca="1" si="2"/>
        <v>2511</v>
      </c>
      <c r="AF16" s="299" t="s">
        <v>41</v>
      </c>
    </row>
    <row r="17" spans="1:32" s="311" customFormat="1" ht="30" customHeight="1" thickBot="1" x14ac:dyDescent="0.25">
      <c r="A17" s="299" t="s">
        <v>360</v>
      </c>
      <c r="B17" s="299" t="s">
        <v>23</v>
      </c>
      <c r="C17" s="299" t="s">
        <v>61</v>
      </c>
      <c r="D17" s="301" t="s">
        <v>690</v>
      </c>
      <c r="E17" s="301" t="s">
        <v>691</v>
      </c>
      <c r="F17" s="302">
        <v>24600</v>
      </c>
      <c r="G17" s="284"/>
      <c r="H17" s="284"/>
      <c r="I17" s="284"/>
      <c r="J17" s="284"/>
      <c r="K17" s="284"/>
      <c r="L17" s="284"/>
      <c r="M17" s="284"/>
      <c r="N17" s="284"/>
      <c r="O17" s="284"/>
      <c r="P17" s="284"/>
      <c r="Q17" s="284"/>
      <c r="R17" s="284"/>
      <c r="S17" s="284">
        <f t="shared" si="0"/>
        <v>0</v>
      </c>
      <c r="T17" s="274">
        <f t="shared" ca="1" si="1"/>
        <v>-3060</v>
      </c>
      <c r="U17" s="303">
        <v>41322</v>
      </c>
      <c r="V17" s="304" t="s">
        <v>692</v>
      </c>
      <c r="W17" s="362" t="s">
        <v>758</v>
      </c>
      <c r="X17" s="305"/>
      <c r="Y17" s="305"/>
      <c r="Z17" s="305"/>
      <c r="AA17" s="305"/>
      <c r="AB17" s="305"/>
      <c r="AC17" s="306"/>
      <c r="AD17" s="307">
        <v>40227</v>
      </c>
      <c r="AE17" s="278">
        <f t="shared" ca="1" si="2"/>
        <v>1964</v>
      </c>
      <c r="AF17" s="299" t="s">
        <v>41</v>
      </c>
    </row>
    <row r="18" spans="1:32" s="311" customFormat="1" ht="30" customHeight="1" thickBot="1" x14ac:dyDescent="0.25">
      <c r="A18" s="299" t="s">
        <v>356</v>
      </c>
      <c r="B18" s="299" t="s">
        <v>23</v>
      </c>
      <c r="C18" s="299" t="s">
        <v>61</v>
      </c>
      <c r="D18" s="301" t="s">
        <v>379</v>
      </c>
      <c r="E18" s="301" t="s">
        <v>720</v>
      </c>
      <c r="F18" s="302" t="s">
        <v>721</v>
      </c>
      <c r="G18" s="284"/>
      <c r="H18" s="284"/>
      <c r="I18" s="284"/>
      <c r="J18" s="284"/>
      <c r="K18" s="284"/>
      <c r="L18" s="284"/>
      <c r="M18" s="284"/>
      <c r="N18" s="284"/>
      <c r="O18" s="284"/>
      <c r="P18" s="284"/>
      <c r="Q18" s="284"/>
      <c r="R18" s="284"/>
      <c r="S18" s="284">
        <f t="shared" si="0"/>
        <v>0</v>
      </c>
      <c r="T18" s="274">
        <f t="shared" ca="1" si="1"/>
        <v>-2836</v>
      </c>
      <c r="U18" s="303">
        <v>41546</v>
      </c>
      <c r="V18" s="359" t="s">
        <v>722</v>
      </c>
      <c r="W18" s="362" t="s">
        <v>745</v>
      </c>
      <c r="X18" s="305"/>
      <c r="Y18" s="305"/>
      <c r="Z18" s="305"/>
      <c r="AA18" s="305"/>
      <c r="AB18" s="305"/>
      <c r="AC18" s="306"/>
      <c r="AD18" s="307">
        <v>40451</v>
      </c>
      <c r="AE18" s="278">
        <f t="shared" ca="1" si="2"/>
        <v>1739</v>
      </c>
      <c r="AF18" s="299" t="s">
        <v>41</v>
      </c>
    </row>
    <row r="19" spans="1:32" s="311" customFormat="1" ht="30" customHeight="1" thickBot="1" x14ac:dyDescent="0.25">
      <c r="A19" s="299" t="s">
        <v>363</v>
      </c>
      <c r="B19" s="300" t="s">
        <v>364</v>
      </c>
      <c r="C19" s="299" t="s">
        <v>37</v>
      </c>
      <c r="D19" s="301" t="s">
        <v>1050</v>
      </c>
      <c r="E19" s="301" t="s">
        <v>1051</v>
      </c>
      <c r="F19" s="302">
        <v>13800</v>
      </c>
      <c r="G19" s="284"/>
      <c r="H19" s="284"/>
      <c r="I19" s="284"/>
      <c r="J19" s="284"/>
      <c r="K19" s="284"/>
      <c r="L19" s="284"/>
      <c r="M19" s="284"/>
      <c r="N19" s="284"/>
      <c r="O19" s="284"/>
      <c r="P19" s="284"/>
      <c r="Q19" s="284"/>
      <c r="R19" s="284"/>
      <c r="S19" s="284">
        <f t="shared" si="0"/>
        <v>0</v>
      </c>
      <c r="T19" s="274">
        <f t="shared" ca="1" si="1"/>
        <v>-3339</v>
      </c>
      <c r="U19" s="303">
        <v>41043</v>
      </c>
      <c r="V19" s="304" t="s">
        <v>1052</v>
      </c>
      <c r="W19" s="362" t="s">
        <v>731</v>
      </c>
      <c r="X19" s="305"/>
      <c r="Y19" s="305"/>
      <c r="Z19" s="305"/>
      <c r="AA19" s="305"/>
      <c r="AB19" s="305"/>
      <c r="AC19" s="306"/>
      <c r="AD19" s="307">
        <v>40983</v>
      </c>
      <c r="AE19" s="278">
        <f t="shared" ca="1" si="2"/>
        <v>1208</v>
      </c>
      <c r="AF19" s="299" t="s">
        <v>169</v>
      </c>
    </row>
    <row r="20" spans="1:32" s="311" customFormat="1" ht="30" customHeight="1" thickBot="1" x14ac:dyDescent="0.25">
      <c r="A20" s="299" t="s">
        <v>286</v>
      </c>
      <c r="B20" s="300" t="s">
        <v>251</v>
      </c>
      <c r="C20" s="299" t="s">
        <v>37</v>
      </c>
      <c r="D20" s="301" t="s">
        <v>216</v>
      </c>
      <c r="E20" s="301" t="s">
        <v>217</v>
      </c>
      <c r="F20" s="302" t="s">
        <v>375</v>
      </c>
      <c r="G20" s="284"/>
      <c r="H20" s="284"/>
      <c r="I20" s="284"/>
      <c r="J20" s="284"/>
      <c r="K20" s="284"/>
      <c r="L20" s="284"/>
      <c r="M20" s="284"/>
      <c r="N20" s="284"/>
      <c r="O20" s="284"/>
      <c r="P20" s="284"/>
      <c r="Q20" s="284"/>
      <c r="R20" s="284"/>
      <c r="S20" s="284">
        <f t="shared" si="0"/>
        <v>0</v>
      </c>
      <c r="T20" s="274">
        <f t="shared" ca="1" si="1"/>
        <v>-3184</v>
      </c>
      <c r="U20" s="303">
        <v>41198</v>
      </c>
      <c r="V20" s="304" t="s">
        <v>561</v>
      </c>
      <c r="W20" s="362" t="s">
        <v>757</v>
      </c>
      <c r="X20" s="305"/>
      <c r="Y20" s="305"/>
      <c r="Z20" s="305"/>
      <c r="AA20" s="305"/>
      <c r="AB20" s="305"/>
      <c r="AC20" s="306"/>
      <c r="AD20" s="307">
        <v>39737</v>
      </c>
      <c r="AE20" s="278">
        <f t="shared" ca="1" si="2"/>
        <v>2454</v>
      </c>
      <c r="AF20" s="299" t="s">
        <v>169</v>
      </c>
    </row>
    <row r="21" spans="1:32" s="311" customFormat="1" ht="30" customHeight="1" thickBot="1" x14ac:dyDescent="0.25">
      <c r="A21" s="299" t="s">
        <v>584</v>
      </c>
      <c r="B21" s="300" t="s">
        <v>585</v>
      </c>
      <c r="C21" s="299" t="s">
        <v>613</v>
      </c>
      <c r="D21" s="301" t="s">
        <v>303</v>
      </c>
      <c r="E21" s="301" t="s">
        <v>167</v>
      </c>
      <c r="F21" s="302">
        <v>35559.599999999999</v>
      </c>
      <c r="G21" s="284"/>
      <c r="H21" s="284"/>
      <c r="I21" s="284"/>
      <c r="J21" s="284"/>
      <c r="K21" s="284"/>
      <c r="L21" s="284"/>
      <c r="M21" s="284"/>
      <c r="N21" s="284"/>
      <c r="O21" s="284"/>
      <c r="P21" s="284"/>
      <c r="Q21" s="284"/>
      <c r="R21" s="284"/>
      <c r="S21" s="284">
        <f t="shared" si="0"/>
        <v>0</v>
      </c>
      <c r="T21" s="274">
        <f t="shared" ca="1" si="1"/>
        <v>-3113</v>
      </c>
      <c r="U21" s="309">
        <v>41269</v>
      </c>
      <c r="V21" s="304" t="s">
        <v>1013</v>
      </c>
      <c r="W21" s="362" t="s">
        <v>727</v>
      </c>
      <c r="X21" s="305"/>
      <c r="Y21" s="305"/>
      <c r="Z21" s="305"/>
      <c r="AA21" s="305"/>
      <c r="AB21" s="305"/>
      <c r="AC21" s="306"/>
      <c r="AD21" s="307">
        <v>39080</v>
      </c>
      <c r="AE21" s="278">
        <f t="shared" ca="1" si="2"/>
        <v>3110</v>
      </c>
      <c r="AF21" s="299" t="s">
        <v>169</v>
      </c>
    </row>
    <row r="22" spans="1:32" s="311" customFormat="1" ht="30" customHeight="1" thickBot="1" x14ac:dyDescent="0.25">
      <c r="A22" s="299" t="s">
        <v>412</v>
      </c>
      <c r="B22" s="299" t="s">
        <v>413</v>
      </c>
      <c r="C22" s="299" t="s">
        <v>613</v>
      </c>
      <c r="D22" s="301" t="s">
        <v>365</v>
      </c>
      <c r="E22" s="301" t="s">
        <v>366</v>
      </c>
      <c r="F22" s="302">
        <v>27203.040000000001</v>
      </c>
      <c r="G22" s="284"/>
      <c r="H22" s="284"/>
      <c r="I22" s="284"/>
      <c r="J22" s="284"/>
      <c r="K22" s="284"/>
      <c r="L22" s="284"/>
      <c r="M22" s="284"/>
      <c r="N22" s="284"/>
      <c r="O22" s="284"/>
      <c r="P22" s="284"/>
      <c r="Q22" s="284"/>
      <c r="R22" s="284"/>
      <c r="S22" s="284">
        <f t="shared" si="0"/>
        <v>0</v>
      </c>
      <c r="T22" s="274">
        <f t="shared" ca="1" si="1"/>
        <v>-3268</v>
      </c>
      <c r="U22" s="303">
        <v>41114</v>
      </c>
      <c r="V22" s="304" t="s">
        <v>866</v>
      </c>
      <c r="W22" s="362" t="s">
        <v>744</v>
      </c>
      <c r="X22" s="305"/>
      <c r="Y22" s="305"/>
      <c r="Z22" s="305"/>
      <c r="AA22" s="305"/>
      <c r="AB22" s="305"/>
      <c r="AC22" s="306"/>
      <c r="AD22" s="307">
        <v>39288</v>
      </c>
      <c r="AE22" s="278">
        <f t="shared" ca="1" si="2"/>
        <v>2902</v>
      </c>
      <c r="AF22" s="299" t="s">
        <v>96</v>
      </c>
    </row>
    <row r="23" spans="1:32" s="311" customFormat="1" ht="30" customHeight="1" thickBot="1" x14ac:dyDescent="0.25">
      <c r="A23" s="299" t="s">
        <v>872</v>
      </c>
      <c r="B23" s="299" t="s">
        <v>23</v>
      </c>
      <c r="C23" s="299" t="s">
        <v>24</v>
      </c>
      <c r="D23" s="301" t="s">
        <v>586</v>
      </c>
      <c r="E23" s="301" t="s">
        <v>587</v>
      </c>
      <c r="F23" s="302" t="s">
        <v>925</v>
      </c>
      <c r="G23" s="284"/>
      <c r="H23" s="284"/>
      <c r="I23" s="284"/>
      <c r="J23" s="284"/>
      <c r="K23" s="284"/>
      <c r="L23" s="284"/>
      <c r="M23" s="284"/>
      <c r="N23" s="284"/>
      <c r="O23" s="284"/>
      <c r="P23" s="284"/>
      <c r="Q23" s="284"/>
      <c r="R23" s="284"/>
      <c r="S23" s="284">
        <f t="shared" si="0"/>
        <v>0</v>
      </c>
      <c r="T23" s="274">
        <f t="shared" ca="1" si="1"/>
        <v>-3250</v>
      </c>
      <c r="U23" s="303">
        <v>41132</v>
      </c>
      <c r="V23" s="304" t="s">
        <v>924</v>
      </c>
      <c r="W23" s="362" t="s">
        <v>733</v>
      </c>
      <c r="X23" s="305"/>
      <c r="Y23" s="305"/>
      <c r="Z23" s="305"/>
      <c r="AA23" s="305"/>
      <c r="AB23" s="305"/>
      <c r="AC23" s="306"/>
      <c r="AD23" s="307">
        <v>40037</v>
      </c>
      <c r="AE23" s="278">
        <f t="shared" ca="1" si="2"/>
        <v>2154</v>
      </c>
      <c r="AF23" s="299" t="s">
        <v>96</v>
      </c>
    </row>
    <row r="24" spans="1:32" s="311" customFormat="1" ht="30" customHeight="1" thickBot="1" x14ac:dyDescent="0.25">
      <c r="A24" s="299" t="s">
        <v>488</v>
      </c>
      <c r="B24" s="300" t="s">
        <v>251</v>
      </c>
      <c r="C24" s="299" t="s">
        <v>613</v>
      </c>
      <c r="D24" s="301" t="s">
        <v>516</v>
      </c>
      <c r="E24" s="301" t="s">
        <v>517</v>
      </c>
      <c r="F24" s="302">
        <v>18210.36</v>
      </c>
      <c r="G24" s="284"/>
      <c r="H24" s="284"/>
      <c r="I24" s="284"/>
      <c r="J24" s="284"/>
      <c r="K24" s="284"/>
      <c r="L24" s="284"/>
      <c r="M24" s="284"/>
      <c r="N24" s="284"/>
      <c r="O24" s="284"/>
      <c r="P24" s="284"/>
      <c r="Q24" s="284"/>
      <c r="R24" s="284"/>
      <c r="S24" s="284">
        <f t="shared" si="0"/>
        <v>0</v>
      </c>
      <c r="T24" s="274">
        <f t="shared" ca="1" si="1"/>
        <v>-3200</v>
      </c>
      <c r="U24" s="309">
        <v>41182</v>
      </c>
      <c r="V24" s="304" t="s">
        <v>987</v>
      </c>
      <c r="W24" s="362" t="s">
        <v>747</v>
      </c>
      <c r="X24" s="305"/>
      <c r="Y24" s="305"/>
      <c r="Z24" s="305"/>
      <c r="AA24" s="305"/>
      <c r="AB24" s="305"/>
      <c r="AC24" s="306"/>
      <c r="AD24" s="307">
        <v>39722</v>
      </c>
      <c r="AE24" s="278">
        <f t="shared" ca="1" si="2"/>
        <v>2469</v>
      </c>
      <c r="AF24" s="299" t="s">
        <v>96</v>
      </c>
    </row>
    <row r="25" spans="1:32" s="311" customFormat="1" ht="30" customHeight="1" thickBot="1" x14ac:dyDescent="0.25">
      <c r="A25" s="299" t="s">
        <v>515</v>
      </c>
      <c r="B25" s="300" t="s">
        <v>23</v>
      </c>
      <c r="C25" s="326" t="s">
        <v>56</v>
      </c>
      <c r="D25" s="301" t="s">
        <v>116</v>
      </c>
      <c r="E25" s="301" t="s">
        <v>117</v>
      </c>
      <c r="F25" s="323">
        <v>5924.8</v>
      </c>
      <c r="G25" s="284"/>
      <c r="H25" s="284"/>
      <c r="I25" s="284"/>
      <c r="J25" s="284"/>
      <c r="K25" s="284"/>
      <c r="L25" s="284"/>
      <c r="M25" s="284"/>
      <c r="N25" s="284"/>
      <c r="O25" s="284"/>
      <c r="P25" s="284"/>
      <c r="Q25" s="284"/>
      <c r="R25" s="284"/>
      <c r="S25" s="284">
        <f t="shared" si="0"/>
        <v>0</v>
      </c>
      <c r="T25" s="274">
        <f t="shared" ca="1" si="1"/>
        <v>-3176</v>
      </c>
      <c r="U25" s="309">
        <v>41206</v>
      </c>
      <c r="V25" s="304" t="s">
        <v>912</v>
      </c>
      <c r="W25" s="362" t="s">
        <v>750</v>
      </c>
      <c r="X25" s="305"/>
      <c r="Y25" s="305"/>
      <c r="Z25" s="305"/>
      <c r="AA25" s="305"/>
      <c r="AB25" s="305"/>
      <c r="AC25" s="306"/>
      <c r="AD25" s="307">
        <v>39015</v>
      </c>
      <c r="AE25" s="278">
        <f t="shared" ca="1" si="2"/>
        <v>3175</v>
      </c>
      <c r="AF25" s="299" t="s">
        <v>96</v>
      </c>
    </row>
    <row r="26" spans="1:32" s="311" customFormat="1" ht="30" customHeight="1" thickBot="1" x14ac:dyDescent="0.25">
      <c r="A26" s="299" t="s">
        <v>259</v>
      </c>
      <c r="B26" s="299" t="s">
        <v>23</v>
      </c>
      <c r="C26" s="299" t="s">
        <v>24</v>
      </c>
      <c r="D26" s="301" t="s">
        <v>787</v>
      </c>
      <c r="E26" s="301" t="s">
        <v>791</v>
      </c>
      <c r="F26" s="302" t="s">
        <v>375</v>
      </c>
      <c r="G26" s="284"/>
      <c r="H26" s="284"/>
      <c r="I26" s="284"/>
      <c r="J26" s="284"/>
      <c r="K26" s="284"/>
      <c r="L26" s="284"/>
      <c r="M26" s="284"/>
      <c r="N26" s="284"/>
      <c r="O26" s="284"/>
      <c r="P26" s="284"/>
      <c r="Q26" s="284"/>
      <c r="R26" s="284"/>
      <c r="S26" s="284">
        <f t="shared" si="0"/>
        <v>0</v>
      </c>
      <c r="T26" s="274">
        <f t="shared" ca="1" si="1"/>
        <v>-3154</v>
      </c>
      <c r="U26" s="309">
        <v>41228</v>
      </c>
      <c r="V26" s="304" t="s">
        <v>788</v>
      </c>
      <c r="W26" s="310" t="s">
        <v>838</v>
      </c>
      <c r="X26" s="305"/>
      <c r="Y26" s="305"/>
      <c r="Z26" s="305"/>
      <c r="AA26" s="305"/>
      <c r="AB26" s="305"/>
      <c r="AC26" s="306"/>
      <c r="AD26" s="307">
        <v>40498</v>
      </c>
      <c r="AE26" s="278">
        <f t="shared" ca="1" si="2"/>
        <v>1692</v>
      </c>
      <c r="AF26" s="299" t="s">
        <v>96</v>
      </c>
    </row>
    <row r="27" spans="1:32" s="311" customFormat="1" ht="30" customHeight="1" thickBot="1" x14ac:dyDescent="0.25">
      <c r="A27" s="299" t="s">
        <v>616</v>
      </c>
      <c r="B27" s="299" t="s">
        <v>600</v>
      </c>
      <c r="C27" s="299" t="s">
        <v>617</v>
      </c>
      <c r="D27" s="349" t="s">
        <v>961</v>
      </c>
      <c r="E27" s="349" t="s">
        <v>962</v>
      </c>
      <c r="F27" s="302" t="s">
        <v>963</v>
      </c>
      <c r="G27" s="284"/>
      <c r="H27" s="284"/>
      <c r="I27" s="284"/>
      <c r="J27" s="284"/>
      <c r="K27" s="284"/>
      <c r="L27" s="284"/>
      <c r="M27" s="284"/>
      <c r="N27" s="284"/>
      <c r="O27" s="284"/>
      <c r="P27" s="284"/>
      <c r="Q27" s="284"/>
      <c r="R27" s="284"/>
      <c r="S27" s="284">
        <f t="shared" si="0"/>
        <v>0</v>
      </c>
      <c r="T27" s="274">
        <f t="shared" ca="1" si="1"/>
        <v>-3054</v>
      </c>
      <c r="U27" s="303">
        <v>41328</v>
      </c>
      <c r="V27" s="351" t="s">
        <v>964</v>
      </c>
      <c r="W27" s="310" t="s">
        <v>977</v>
      </c>
      <c r="X27" s="305"/>
      <c r="Y27" s="305"/>
      <c r="Z27" s="305"/>
      <c r="AA27" s="305"/>
      <c r="AB27" s="305"/>
      <c r="AC27" s="306"/>
      <c r="AD27" s="307">
        <v>40963</v>
      </c>
      <c r="AE27" s="278"/>
      <c r="AF27" s="326" t="s">
        <v>96</v>
      </c>
    </row>
    <row r="28" spans="1:32" s="311" customFormat="1" ht="30" customHeight="1" thickBot="1" x14ac:dyDescent="0.25">
      <c r="A28" s="299" t="s">
        <v>215</v>
      </c>
      <c r="B28" s="299" t="s">
        <v>23</v>
      </c>
      <c r="C28" s="299" t="s">
        <v>24</v>
      </c>
      <c r="D28" s="301" t="s">
        <v>340</v>
      </c>
      <c r="E28" s="301" t="s">
        <v>608</v>
      </c>
      <c r="F28" s="302">
        <v>18070.439999999999</v>
      </c>
      <c r="G28" s="360"/>
      <c r="H28" s="360"/>
      <c r="I28" s="360"/>
      <c r="J28" s="360"/>
      <c r="K28" s="360"/>
      <c r="L28" s="360"/>
      <c r="M28" s="360"/>
      <c r="N28" s="360"/>
      <c r="O28" s="360"/>
      <c r="P28" s="360"/>
      <c r="Q28" s="360"/>
      <c r="R28" s="360"/>
      <c r="S28" s="284">
        <f t="shared" si="0"/>
        <v>0</v>
      </c>
      <c r="T28" s="361">
        <f t="shared" ca="1" si="1"/>
        <v>-3040</v>
      </c>
      <c r="U28" s="303">
        <v>41342</v>
      </c>
      <c r="V28" s="304" t="s">
        <v>1053</v>
      </c>
      <c r="W28" s="362" t="s">
        <v>736</v>
      </c>
      <c r="X28" s="305"/>
      <c r="Y28" s="305"/>
      <c r="Z28" s="305"/>
      <c r="AA28" s="305"/>
      <c r="AB28" s="305"/>
      <c r="AC28" s="306"/>
      <c r="AD28" s="307">
        <v>39882</v>
      </c>
      <c r="AE28" s="363">
        <f t="shared" ref="AE28:AE43" ca="1" si="3">TODAY()-DATE(YEAR(AD28)+6,MONTH(AD28),DAY(AD28))</f>
        <v>2309</v>
      </c>
      <c r="AF28" s="299" t="s">
        <v>96</v>
      </c>
    </row>
    <row r="29" spans="1:32" s="311" customFormat="1" ht="30" customHeight="1" thickBot="1" x14ac:dyDescent="0.25">
      <c r="A29" s="299" t="s">
        <v>711</v>
      </c>
      <c r="B29" s="299" t="s">
        <v>23</v>
      </c>
      <c r="C29" s="299" t="s">
        <v>61</v>
      </c>
      <c r="D29" s="301" t="s">
        <v>1044</v>
      </c>
      <c r="E29" s="301" t="s">
        <v>1045</v>
      </c>
      <c r="F29" s="302" t="s">
        <v>1046</v>
      </c>
      <c r="G29" s="284"/>
      <c r="H29" s="284"/>
      <c r="I29" s="284"/>
      <c r="J29" s="284"/>
      <c r="K29" s="284"/>
      <c r="L29" s="284"/>
      <c r="M29" s="284"/>
      <c r="N29" s="284"/>
      <c r="O29" s="284"/>
      <c r="P29" s="284"/>
      <c r="Q29" s="284"/>
      <c r="R29" s="284"/>
      <c r="S29" s="284">
        <f t="shared" si="0"/>
        <v>0</v>
      </c>
      <c r="T29" s="274">
        <f t="shared" ca="1" si="1"/>
        <v>-3017</v>
      </c>
      <c r="U29" s="303">
        <v>41365</v>
      </c>
      <c r="V29" s="304" t="s">
        <v>1047</v>
      </c>
      <c r="W29" s="362" t="s">
        <v>1048</v>
      </c>
      <c r="X29" s="305"/>
      <c r="Y29" s="305"/>
      <c r="Z29" s="305"/>
      <c r="AA29" s="305"/>
      <c r="AB29" s="305"/>
      <c r="AC29" s="306"/>
      <c r="AD29" s="307">
        <v>41001</v>
      </c>
      <c r="AE29" s="278">
        <f t="shared" ca="1" si="3"/>
        <v>1190</v>
      </c>
      <c r="AF29" s="299" t="s">
        <v>96</v>
      </c>
    </row>
    <row r="30" spans="1:32" s="311" customFormat="1" ht="30" hidden="1" customHeight="1" thickBot="1" x14ac:dyDescent="0.25">
      <c r="A30" s="299" t="s">
        <v>115</v>
      </c>
      <c r="B30" s="299" t="s">
        <v>23</v>
      </c>
      <c r="C30" s="299" t="s">
        <v>56</v>
      </c>
      <c r="D30" s="301" t="s">
        <v>1054</v>
      </c>
      <c r="E30" s="301" t="s">
        <v>696</v>
      </c>
      <c r="F30" s="302">
        <v>309430.8</v>
      </c>
      <c r="G30" s="360"/>
      <c r="H30" s="360"/>
      <c r="I30" s="360"/>
      <c r="J30" s="360"/>
      <c r="K30" s="360"/>
      <c r="L30" s="360"/>
      <c r="M30" s="360"/>
      <c r="N30" s="360"/>
      <c r="O30" s="360"/>
      <c r="P30" s="360"/>
      <c r="Q30" s="360"/>
      <c r="R30" s="360"/>
      <c r="S30" s="284">
        <f t="shared" si="0"/>
        <v>0</v>
      </c>
      <c r="T30" s="361">
        <f t="shared" ca="1" si="1"/>
        <v>-3433</v>
      </c>
      <c r="U30" s="303">
        <v>40949</v>
      </c>
      <c r="V30" s="359" t="s">
        <v>843</v>
      </c>
      <c r="W30" s="362" t="s">
        <v>732</v>
      </c>
      <c r="X30" s="305"/>
      <c r="Y30" s="305"/>
      <c r="Z30" s="305"/>
      <c r="AA30" s="305"/>
      <c r="AB30" s="305"/>
      <c r="AC30" s="307"/>
      <c r="AD30" s="307">
        <v>40036</v>
      </c>
      <c r="AE30" s="363">
        <f t="shared" ca="1" si="3"/>
        <v>2155</v>
      </c>
      <c r="AF30" s="299" t="s">
        <v>48</v>
      </c>
    </row>
    <row r="31" spans="1:32" s="311" customFormat="1" ht="30" hidden="1" customHeight="1" thickBot="1" x14ac:dyDescent="0.25">
      <c r="A31" s="299" t="s">
        <v>915</v>
      </c>
      <c r="B31" s="299" t="s">
        <v>23</v>
      </c>
      <c r="C31" s="299" t="s">
        <v>56</v>
      </c>
      <c r="D31" s="301" t="s">
        <v>138</v>
      </c>
      <c r="E31" s="301" t="s">
        <v>591</v>
      </c>
      <c r="F31" s="302" t="s">
        <v>851</v>
      </c>
      <c r="G31" s="284"/>
      <c r="H31" s="284"/>
      <c r="I31" s="284"/>
      <c r="J31" s="284"/>
      <c r="K31" s="284"/>
      <c r="L31" s="284"/>
      <c r="M31" s="284"/>
      <c r="N31" s="284"/>
      <c r="O31" s="284"/>
      <c r="P31" s="284"/>
      <c r="Q31" s="284"/>
      <c r="R31" s="284"/>
      <c r="S31" s="284">
        <f t="shared" si="0"/>
        <v>0</v>
      </c>
      <c r="T31" s="274">
        <f t="shared" ca="1" si="1"/>
        <v>-3314</v>
      </c>
      <c r="U31" s="303">
        <v>41068</v>
      </c>
      <c r="V31" s="304" t="s">
        <v>852</v>
      </c>
      <c r="W31" s="362" t="s">
        <v>740</v>
      </c>
      <c r="X31" s="305"/>
      <c r="Y31" s="305"/>
      <c r="Z31" s="305"/>
      <c r="AA31" s="305"/>
      <c r="AB31" s="305"/>
      <c r="AC31" s="306"/>
      <c r="AD31" s="307">
        <v>39973</v>
      </c>
      <c r="AE31" s="278">
        <f t="shared" ca="1" si="3"/>
        <v>2218</v>
      </c>
      <c r="AF31" s="299" t="s">
        <v>48</v>
      </c>
    </row>
    <row r="32" spans="1:32" s="311" customFormat="1" ht="26.25" thickBot="1" x14ac:dyDescent="0.25">
      <c r="A32" s="299" t="s">
        <v>397</v>
      </c>
      <c r="B32" s="299" t="s">
        <v>398</v>
      </c>
      <c r="C32" s="299" t="s">
        <v>613</v>
      </c>
      <c r="D32" s="301" t="s">
        <v>580</v>
      </c>
      <c r="E32" s="301" t="s">
        <v>581</v>
      </c>
      <c r="F32" s="302" t="s">
        <v>864</v>
      </c>
      <c r="G32" s="284"/>
      <c r="H32" s="284"/>
      <c r="I32" s="284"/>
      <c r="J32" s="284"/>
      <c r="K32" s="284"/>
      <c r="L32" s="284"/>
      <c r="M32" s="284"/>
      <c r="N32" s="284"/>
      <c r="O32" s="284"/>
      <c r="P32" s="284"/>
      <c r="Q32" s="284"/>
      <c r="R32" s="284"/>
      <c r="S32" s="284">
        <f t="shared" si="0"/>
        <v>0</v>
      </c>
      <c r="T32" s="274">
        <f t="shared" ca="1" si="1"/>
        <v>-3308</v>
      </c>
      <c r="U32" s="303">
        <v>41074</v>
      </c>
      <c r="V32" s="304" t="s">
        <v>865</v>
      </c>
      <c r="W32" s="362" t="s">
        <v>742</v>
      </c>
      <c r="X32" s="305"/>
      <c r="Y32" s="305"/>
      <c r="Z32" s="305"/>
      <c r="AA32" s="305"/>
      <c r="AB32" s="305"/>
      <c r="AC32" s="306"/>
      <c r="AD32" s="307">
        <v>39979</v>
      </c>
      <c r="AE32" s="278">
        <f t="shared" ca="1" si="3"/>
        <v>2212</v>
      </c>
      <c r="AF32" s="299" t="s">
        <v>48</v>
      </c>
    </row>
    <row r="33" spans="1:32" s="311" customFormat="1" ht="13.5" thickBot="1" x14ac:dyDescent="0.25">
      <c r="A33" s="299" t="s">
        <v>137</v>
      </c>
      <c r="B33" s="299" t="s">
        <v>23</v>
      </c>
      <c r="C33" s="299" t="s">
        <v>56</v>
      </c>
      <c r="D33" s="301" t="s">
        <v>212</v>
      </c>
      <c r="E33" s="301" t="s">
        <v>361</v>
      </c>
      <c r="F33" s="302">
        <v>7040.16</v>
      </c>
      <c r="G33" s="284"/>
      <c r="H33" s="284"/>
      <c r="I33" s="284"/>
      <c r="J33" s="284"/>
      <c r="K33" s="284"/>
      <c r="L33" s="284"/>
      <c r="M33" s="284"/>
      <c r="N33" s="284"/>
      <c r="O33" s="284"/>
      <c r="P33" s="284"/>
      <c r="Q33" s="284"/>
      <c r="R33" s="284"/>
      <c r="S33" s="284">
        <f t="shared" si="0"/>
        <v>0</v>
      </c>
      <c r="T33" s="274">
        <f t="shared" ca="1" si="1"/>
        <v>-3304</v>
      </c>
      <c r="U33" s="303">
        <v>41078</v>
      </c>
      <c r="V33" s="304" t="s">
        <v>853</v>
      </c>
      <c r="W33" s="362" t="s">
        <v>726</v>
      </c>
      <c r="X33" s="305"/>
      <c r="Y33" s="305"/>
      <c r="Z33" s="305"/>
      <c r="AA33" s="305"/>
      <c r="AB33" s="305"/>
      <c r="AC33" s="306"/>
      <c r="AD33" s="307">
        <v>39617</v>
      </c>
      <c r="AE33" s="278">
        <f t="shared" ca="1" si="3"/>
        <v>2574</v>
      </c>
      <c r="AF33" s="299" t="s">
        <v>48</v>
      </c>
    </row>
    <row r="34" spans="1:32" s="311" customFormat="1" ht="13.5" thickBot="1" x14ac:dyDescent="0.25">
      <c r="A34" s="299" t="s">
        <v>786</v>
      </c>
      <c r="B34" s="300" t="s">
        <v>23</v>
      </c>
      <c r="C34" s="299" t="s">
        <v>372</v>
      </c>
      <c r="D34" s="301" t="s">
        <v>62</v>
      </c>
      <c r="E34" s="301" t="s">
        <v>357</v>
      </c>
      <c r="F34" s="302">
        <v>8004.24</v>
      </c>
      <c r="G34" s="284"/>
      <c r="H34" s="284"/>
      <c r="I34" s="284"/>
      <c r="J34" s="284"/>
      <c r="K34" s="284"/>
      <c r="L34" s="284"/>
      <c r="M34" s="284"/>
      <c r="N34" s="284"/>
      <c r="O34" s="284"/>
      <c r="P34" s="284"/>
      <c r="Q34" s="284"/>
      <c r="R34" s="284"/>
      <c r="S34" s="284">
        <f t="shared" si="0"/>
        <v>0</v>
      </c>
      <c r="T34" s="274">
        <f t="shared" ca="1" si="1"/>
        <v>-3302</v>
      </c>
      <c r="U34" s="303">
        <v>41080</v>
      </c>
      <c r="V34" s="304" t="s">
        <v>853</v>
      </c>
      <c r="W34" s="362" t="s">
        <v>743</v>
      </c>
      <c r="X34" s="305"/>
      <c r="Y34" s="305"/>
      <c r="Z34" s="305"/>
      <c r="AA34" s="305"/>
      <c r="AB34" s="305"/>
      <c r="AC34" s="306"/>
      <c r="AD34" s="307">
        <v>39619</v>
      </c>
      <c r="AE34" s="278">
        <f t="shared" ca="1" si="3"/>
        <v>2572</v>
      </c>
      <c r="AF34" s="299" t="s">
        <v>48</v>
      </c>
    </row>
    <row r="35" spans="1:32" s="311" customFormat="1" ht="26.25" thickBot="1" x14ac:dyDescent="0.25">
      <c r="A35" s="299" t="s">
        <v>628</v>
      </c>
      <c r="B35" s="299" t="s">
        <v>585</v>
      </c>
      <c r="C35" s="299" t="s">
        <v>617</v>
      </c>
      <c r="D35" s="301" t="s">
        <v>44</v>
      </c>
      <c r="E35" s="301" t="s">
        <v>653</v>
      </c>
      <c r="F35" s="302">
        <v>170814</v>
      </c>
      <c r="G35" s="284"/>
      <c r="H35" s="284"/>
      <c r="I35" s="284"/>
      <c r="J35" s="284"/>
      <c r="K35" s="284"/>
      <c r="L35" s="284"/>
      <c r="M35" s="284"/>
      <c r="N35" s="284"/>
      <c r="O35" s="284"/>
      <c r="P35" s="284"/>
      <c r="Q35" s="284"/>
      <c r="R35" s="284"/>
      <c r="S35" s="284">
        <f t="shared" si="0"/>
        <v>0</v>
      </c>
      <c r="T35" s="274">
        <f t="shared" ca="1" si="1"/>
        <v>-3228</v>
      </c>
      <c r="U35" s="303">
        <v>41154</v>
      </c>
      <c r="V35" s="304" t="s">
        <v>974</v>
      </c>
      <c r="W35" s="362" t="s">
        <v>746</v>
      </c>
      <c r="X35" s="305"/>
      <c r="Y35" s="305"/>
      <c r="Z35" s="305"/>
      <c r="AA35" s="305"/>
      <c r="AB35" s="305"/>
      <c r="AC35" s="306"/>
      <c r="AD35" s="307">
        <v>39328</v>
      </c>
      <c r="AE35" s="278">
        <f t="shared" ca="1" si="3"/>
        <v>2862</v>
      </c>
      <c r="AF35" s="299" t="s">
        <v>48</v>
      </c>
    </row>
    <row r="36" spans="1:32" s="311" customFormat="1" ht="39" thickBot="1" x14ac:dyDescent="0.25">
      <c r="A36" s="299" t="s">
        <v>765</v>
      </c>
      <c r="B36" s="299" t="s">
        <v>773</v>
      </c>
      <c r="C36" s="299" t="s">
        <v>37</v>
      </c>
      <c r="D36" s="301" t="s">
        <v>618</v>
      </c>
      <c r="E36" s="301" t="s">
        <v>654</v>
      </c>
      <c r="F36" s="302" t="s">
        <v>655</v>
      </c>
      <c r="G36" s="284"/>
      <c r="H36" s="284"/>
      <c r="I36" s="284"/>
      <c r="J36" s="284"/>
      <c r="K36" s="284"/>
      <c r="L36" s="284"/>
      <c r="M36" s="284"/>
      <c r="N36" s="284"/>
      <c r="O36" s="284"/>
      <c r="P36" s="284"/>
      <c r="Q36" s="284"/>
      <c r="R36" s="284"/>
      <c r="S36" s="284">
        <f t="shared" si="0"/>
        <v>0</v>
      </c>
      <c r="T36" s="274">
        <f t="shared" ca="1" si="1"/>
        <v>-3191</v>
      </c>
      <c r="U36" s="309">
        <v>41191</v>
      </c>
      <c r="V36" s="304" t="s">
        <v>914</v>
      </c>
      <c r="W36" s="362" t="s">
        <v>748</v>
      </c>
      <c r="X36" s="305"/>
      <c r="Y36" s="305"/>
      <c r="Z36" s="305"/>
      <c r="AA36" s="305"/>
      <c r="AB36" s="305"/>
      <c r="AC36" s="306"/>
      <c r="AD36" s="307">
        <v>40095</v>
      </c>
      <c r="AE36" s="278">
        <f t="shared" ca="1" si="3"/>
        <v>2096</v>
      </c>
      <c r="AF36" s="299" t="s">
        <v>48</v>
      </c>
    </row>
    <row r="37" spans="1:32" s="311" customFormat="1" ht="26.25" thickBot="1" x14ac:dyDescent="0.25">
      <c r="A37" s="299" t="s">
        <v>164</v>
      </c>
      <c r="B37" s="300" t="s">
        <v>165</v>
      </c>
      <c r="C37" s="299" t="s">
        <v>37</v>
      </c>
      <c r="D37" s="301" t="s">
        <v>98</v>
      </c>
      <c r="E37" s="301" t="s">
        <v>712</v>
      </c>
      <c r="F37" s="302" t="s">
        <v>713</v>
      </c>
      <c r="G37" s="284"/>
      <c r="H37" s="284"/>
      <c r="I37" s="284"/>
      <c r="J37" s="284"/>
      <c r="K37" s="284"/>
      <c r="L37" s="284"/>
      <c r="M37" s="284"/>
      <c r="N37" s="284"/>
      <c r="O37" s="284"/>
      <c r="P37" s="284"/>
      <c r="Q37" s="284"/>
      <c r="R37" s="284"/>
      <c r="S37" s="284">
        <f t="shared" ref="S37:S55" si="4">SUM(G37:R37)</f>
        <v>0</v>
      </c>
      <c r="T37" s="274">
        <f t="shared" ref="T37:T53" ca="1" si="5">U37-$AE$2</f>
        <v>-3178</v>
      </c>
      <c r="U37" s="357">
        <v>41204</v>
      </c>
      <c r="V37" s="358" t="s">
        <v>913</v>
      </c>
      <c r="W37" s="362" t="s">
        <v>749</v>
      </c>
      <c r="X37" s="305"/>
      <c r="Y37" s="305"/>
      <c r="Z37" s="305"/>
      <c r="AA37" s="305"/>
      <c r="AB37" s="305"/>
      <c r="AC37" s="306"/>
      <c r="AD37" s="307">
        <v>40473</v>
      </c>
      <c r="AE37" s="278">
        <f t="shared" ca="1" si="3"/>
        <v>1717</v>
      </c>
      <c r="AF37" s="299" t="s">
        <v>48</v>
      </c>
    </row>
    <row r="38" spans="1:32" s="311" customFormat="1" ht="13.5" thickBot="1" x14ac:dyDescent="0.25">
      <c r="A38" s="299" t="s">
        <v>993</v>
      </c>
      <c r="B38" s="299" t="s">
        <v>23</v>
      </c>
      <c r="C38" s="299" t="s">
        <v>56</v>
      </c>
      <c r="D38" s="301" t="s">
        <v>399</v>
      </c>
      <c r="E38" s="301" t="s">
        <v>400</v>
      </c>
      <c r="F38" s="302" t="s">
        <v>919</v>
      </c>
      <c r="G38" s="284"/>
      <c r="H38" s="284"/>
      <c r="I38" s="284"/>
      <c r="J38" s="284"/>
      <c r="K38" s="284"/>
      <c r="L38" s="284"/>
      <c r="M38" s="284"/>
      <c r="N38" s="284"/>
      <c r="O38" s="284"/>
      <c r="P38" s="284"/>
      <c r="Q38" s="284"/>
      <c r="R38" s="284"/>
      <c r="S38" s="284">
        <f t="shared" si="4"/>
        <v>0</v>
      </c>
      <c r="T38" s="274">
        <f t="shared" ca="1" si="5"/>
        <v>-3167</v>
      </c>
      <c r="U38" s="303">
        <v>41215</v>
      </c>
      <c r="V38" s="304" t="s">
        <v>920</v>
      </c>
      <c r="W38" s="362" t="s">
        <v>752</v>
      </c>
      <c r="X38" s="305"/>
      <c r="Y38" s="305"/>
      <c r="Z38" s="305"/>
      <c r="AA38" s="305"/>
      <c r="AB38" s="305"/>
      <c r="AC38" s="306"/>
      <c r="AD38" s="307">
        <v>39755</v>
      </c>
      <c r="AE38" s="278">
        <f t="shared" ca="1" si="3"/>
        <v>2436</v>
      </c>
      <c r="AF38" s="299" t="s">
        <v>48</v>
      </c>
    </row>
    <row r="39" spans="1:32" s="311" customFormat="1" ht="13.5" thickBot="1" x14ac:dyDescent="0.25">
      <c r="A39" s="299" t="s">
        <v>658</v>
      </c>
      <c r="B39" s="299" t="s">
        <v>23</v>
      </c>
      <c r="C39" s="299" t="s">
        <v>24</v>
      </c>
      <c r="D39" s="301" t="s">
        <v>138</v>
      </c>
      <c r="E39" s="301" t="s">
        <v>139</v>
      </c>
      <c r="F39" s="302" t="s">
        <v>952</v>
      </c>
      <c r="G39" s="284"/>
      <c r="H39" s="284"/>
      <c r="I39" s="284"/>
      <c r="J39" s="284"/>
      <c r="K39" s="284"/>
      <c r="L39" s="284"/>
      <c r="M39" s="284"/>
      <c r="N39" s="284"/>
      <c r="O39" s="284"/>
      <c r="P39" s="284"/>
      <c r="Q39" s="284"/>
      <c r="R39" s="284"/>
      <c r="S39" s="284">
        <f t="shared" si="4"/>
        <v>0</v>
      </c>
      <c r="T39" s="274">
        <f t="shared" ca="1" si="5"/>
        <v>-3154</v>
      </c>
      <c r="U39" s="303">
        <v>41228</v>
      </c>
      <c r="V39" s="304" t="s">
        <v>953</v>
      </c>
      <c r="W39" s="362" t="s">
        <v>740</v>
      </c>
      <c r="X39" s="305"/>
      <c r="Y39" s="305"/>
      <c r="Z39" s="305"/>
      <c r="AA39" s="305"/>
      <c r="AB39" s="305"/>
      <c r="AC39" s="306"/>
      <c r="AD39" s="307">
        <v>39037</v>
      </c>
      <c r="AE39" s="278">
        <f t="shared" ca="1" si="3"/>
        <v>3153</v>
      </c>
      <c r="AF39" s="299" t="s">
        <v>48</v>
      </c>
    </row>
    <row r="40" spans="1:32" s="311" customFormat="1" ht="13.5" thickBot="1" x14ac:dyDescent="0.25">
      <c r="A40" s="299" t="s">
        <v>193</v>
      </c>
      <c r="B40" s="299" t="s">
        <v>23</v>
      </c>
      <c r="C40" s="299" t="s">
        <v>56</v>
      </c>
      <c r="D40" s="312" t="s">
        <v>44</v>
      </c>
      <c r="E40" s="337" t="s">
        <v>932</v>
      </c>
      <c r="F40" s="313">
        <v>40083.480000000003</v>
      </c>
      <c r="G40" s="314"/>
      <c r="H40" s="314"/>
      <c r="I40" s="314"/>
      <c r="J40" s="314"/>
      <c r="K40" s="314"/>
      <c r="L40" s="314"/>
      <c r="M40" s="314"/>
      <c r="N40" s="314"/>
      <c r="O40" s="314"/>
      <c r="P40" s="314"/>
      <c r="Q40" s="314"/>
      <c r="R40" s="314"/>
      <c r="S40" s="284">
        <f t="shared" si="4"/>
        <v>0</v>
      </c>
      <c r="T40" s="274">
        <f t="shared" ca="1" si="5"/>
        <v>-3139</v>
      </c>
      <c r="U40" s="303">
        <v>41243</v>
      </c>
      <c r="V40" s="326" t="s">
        <v>931</v>
      </c>
      <c r="W40" s="362" t="s">
        <v>746</v>
      </c>
      <c r="X40" s="305"/>
      <c r="Y40" s="305"/>
      <c r="Z40" s="305"/>
      <c r="AA40" s="305"/>
      <c r="AB40" s="305"/>
      <c r="AC40" s="303"/>
      <c r="AD40" s="316">
        <v>40147</v>
      </c>
      <c r="AE40" s="278">
        <f t="shared" ca="1" si="3"/>
        <v>2044</v>
      </c>
      <c r="AF40" s="299" t="s">
        <v>48</v>
      </c>
    </row>
    <row r="41" spans="1:32" s="311" customFormat="1" ht="26.25" thickBot="1" x14ac:dyDescent="0.25">
      <c r="A41" s="326" t="s">
        <v>955</v>
      </c>
      <c r="B41" s="299" t="s">
        <v>773</v>
      </c>
      <c r="C41" s="299" t="s">
        <v>772</v>
      </c>
      <c r="D41" s="301" t="s">
        <v>88</v>
      </c>
      <c r="E41" s="301" t="s">
        <v>766</v>
      </c>
      <c r="F41" s="302">
        <v>30832.36</v>
      </c>
      <c r="G41" s="284"/>
      <c r="H41" s="284"/>
      <c r="I41" s="284"/>
      <c r="J41" s="284"/>
      <c r="K41" s="284"/>
      <c r="L41" s="284"/>
      <c r="M41" s="284"/>
      <c r="N41" s="284"/>
      <c r="O41" s="284"/>
      <c r="P41" s="284"/>
      <c r="Q41" s="284"/>
      <c r="R41" s="284"/>
      <c r="S41" s="284">
        <f t="shared" si="4"/>
        <v>0</v>
      </c>
      <c r="T41" s="274">
        <f t="shared" ca="1" si="5"/>
        <v>-3124</v>
      </c>
      <c r="U41" s="303">
        <v>41258</v>
      </c>
      <c r="V41" s="304" t="s">
        <v>951</v>
      </c>
      <c r="W41" s="362" t="s">
        <v>775</v>
      </c>
      <c r="X41" s="305"/>
      <c r="Y41" s="305"/>
      <c r="Z41" s="305"/>
      <c r="AA41" s="305"/>
      <c r="AB41" s="305"/>
      <c r="AC41" s="306"/>
      <c r="AD41" s="307">
        <v>40527</v>
      </c>
      <c r="AE41" s="278">
        <f t="shared" ca="1" si="3"/>
        <v>1663</v>
      </c>
      <c r="AF41" s="310" t="s">
        <v>48</v>
      </c>
    </row>
    <row r="42" spans="1:32" s="311" customFormat="1" ht="26.25" thickBot="1" x14ac:dyDescent="0.25">
      <c r="A42" s="299" t="s">
        <v>688</v>
      </c>
      <c r="B42" s="299" t="s">
        <v>689</v>
      </c>
      <c r="C42" s="299" t="s">
        <v>613</v>
      </c>
      <c r="D42" s="301" t="s">
        <v>83</v>
      </c>
      <c r="E42" s="301" t="s">
        <v>994</v>
      </c>
      <c r="F42" s="302" t="s">
        <v>769</v>
      </c>
      <c r="G42" s="284"/>
      <c r="H42" s="284"/>
      <c r="I42" s="284"/>
      <c r="J42" s="284"/>
      <c r="K42" s="284"/>
      <c r="L42" s="284"/>
      <c r="M42" s="284"/>
      <c r="N42" s="284"/>
      <c r="O42" s="284"/>
      <c r="P42" s="284"/>
      <c r="Q42" s="284"/>
      <c r="R42" s="284"/>
      <c r="S42" s="284">
        <f t="shared" si="4"/>
        <v>0</v>
      </c>
      <c r="T42" s="274">
        <f t="shared" ca="1" si="5"/>
        <v>-3105</v>
      </c>
      <c r="U42" s="303">
        <v>41277</v>
      </c>
      <c r="V42" s="304" t="s">
        <v>1015</v>
      </c>
      <c r="W42" s="362" t="s">
        <v>730</v>
      </c>
      <c r="X42" s="305"/>
      <c r="Y42" s="305"/>
      <c r="Z42" s="305"/>
      <c r="AA42" s="305"/>
      <c r="AB42" s="305"/>
      <c r="AC42" s="306"/>
      <c r="AD42" s="307">
        <v>39480</v>
      </c>
      <c r="AE42" s="278">
        <f t="shared" ca="1" si="3"/>
        <v>2710</v>
      </c>
      <c r="AF42" s="299" t="s">
        <v>48</v>
      </c>
    </row>
    <row r="43" spans="1:32" s="311" customFormat="1" ht="26.25" thickBot="1" x14ac:dyDescent="0.25">
      <c r="A43" s="326" t="s">
        <v>960</v>
      </c>
      <c r="B43" s="299" t="s">
        <v>23</v>
      </c>
      <c r="C43" s="299" t="s">
        <v>56</v>
      </c>
      <c r="D43" s="301" t="s">
        <v>194</v>
      </c>
      <c r="E43" s="301" t="s">
        <v>195</v>
      </c>
      <c r="F43" s="302">
        <v>15600</v>
      </c>
      <c r="G43" s="284"/>
      <c r="H43" s="284"/>
      <c r="I43" s="284"/>
      <c r="J43" s="284"/>
      <c r="K43" s="284"/>
      <c r="L43" s="284"/>
      <c r="M43" s="284"/>
      <c r="N43" s="284"/>
      <c r="O43" s="284"/>
      <c r="P43" s="284"/>
      <c r="Q43" s="284"/>
      <c r="R43" s="284"/>
      <c r="S43" s="284">
        <f t="shared" si="4"/>
        <v>0</v>
      </c>
      <c r="T43" s="274">
        <f t="shared" ca="1" si="5"/>
        <v>-3065</v>
      </c>
      <c r="U43" s="303">
        <v>41317</v>
      </c>
      <c r="V43" s="304" t="s">
        <v>954</v>
      </c>
      <c r="W43" s="362" t="s">
        <v>734</v>
      </c>
      <c r="X43" s="305"/>
      <c r="Y43" s="305"/>
      <c r="Z43" s="305"/>
      <c r="AA43" s="305"/>
      <c r="AB43" s="305"/>
      <c r="AC43" s="306"/>
      <c r="AD43" s="307">
        <v>39125</v>
      </c>
      <c r="AE43" s="278">
        <f t="shared" ca="1" si="3"/>
        <v>3065</v>
      </c>
      <c r="AF43" s="299" t="s">
        <v>48</v>
      </c>
    </row>
    <row r="44" spans="1:32" s="311" customFormat="1" ht="13.5" thickBot="1" x14ac:dyDescent="0.25">
      <c r="A44" s="299" t="s">
        <v>801</v>
      </c>
      <c r="B44" s="310" t="s">
        <v>23</v>
      </c>
      <c r="C44" s="299" t="s">
        <v>61</v>
      </c>
      <c r="D44" s="349" t="s">
        <v>956</v>
      </c>
      <c r="E44" s="349" t="s">
        <v>957</v>
      </c>
      <c r="F44" s="302" t="s">
        <v>958</v>
      </c>
      <c r="G44" s="284"/>
      <c r="H44" s="284"/>
      <c r="I44" s="284"/>
      <c r="J44" s="284"/>
      <c r="K44" s="284"/>
      <c r="L44" s="284"/>
      <c r="M44" s="284"/>
      <c r="N44" s="284"/>
      <c r="O44" s="284"/>
      <c r="P44" s="284"/>
      <c r="Q44" s="284"/>
      <c r="R44" s="284"/>
      <c r="S44" s="284">
        <f t="shared" si="4"/>
        <v>0</v>
      </c>
      <c r="T44" s="274">
        <f t="shared" ca="1" si="5"/>
        <v>-3065</v>
      </c>
      <c r="U44" s="303">
        <v>41317</v>
      </c>
      <c r="V44" s="351" t="s">
        <v>959</v>
      </c>
      <c r="W44" s="310"/>
      <c r="X44" s="305"/>
      <c r="Y44" s="305"/>
      <c r="Z44" s="305"/>
      <c r="AA44" s="305"/>
      <c r="AB44" s="305"/>
      <c r="AC44" s="306"/>
      <c r="AD44" s="307">
        <v>40952</v>
      </c>
      <c r="AE44" s="278"/>
      <c r="AF44" s="326" t="s">
        <v>48</v>
      </c>
    </row>
    <row r="45" spans="1:32" s="311" customFormat="1" ht="13.5" thickBot="1" x14ac:dyDescent="0.25">
      <c r="A45" s="299" t="s">
        <v>817</v>
      </c>
      <c r="B45" s="299" t="s">
        <v>23</v>
      </c>
      <c r="C45" s="299" t="s">
        <v>56</v>
      </c>
      <c r="D45" s="301" t="s">
        <v>207</v>
      </c>
      <c r="E45" s="301" t="s">
        <v>208</v>
      </c>
      <c r="F45" s="302" t="s">
        <v>453</v>
      </c>
      <c r="G45" s="284"/>
      <c r="H45" s="284"/>
      <c r="I45" s="284"/>
      <c r="J45" s="284"/>
      <c r="K45" s="284"/>
      <c r="L45" s="284"/>
      <c r="M45" s="284"/>
      <c r="N45" s="284"/>
      <c r="O45" s="284"/>
      <c r="P45" s="284"/>
      <c r="Q45" s="284"/>
      <c r="R45" s="284"/>
      <c r="S45" s="284">
        <f t="shared" si="4"/>
        <v>0</v>
      </c>
      <c r="T45" s="274">
        <f t="shared" ca="1" si="5"/>
        <v>-3033</v>
      </c>
      <c r="U45" s="303">
        <v>41349</v>
      </c>
      <c r="V45" s="304" t="s">
        <v>965</v>
      </c>
      <c r="W45" s="362" t="s">
        <v>737</v>
      </c>
      <c r="X45" s="305"/>
      <c r="Y45" s="305"/>
      <c r="Z45" s="305"/>
      <c r="AA45" s="305"/>
      <c r="AB45" s="305"/>
      <c r="AC45" s="306"/>
      <c r="AD45" s="307">
        <v>39889</v>
      </c>
      <c r="AE45" s="278">
        <f ca="1">TODAY()-DATE(YEAR(AD45)+6,MONTH(AD45),DAY(AD45))</f>
        <v>2302</v>
      </c>
      <c r="AF45" s="299" t="s">
        <v>48</v>
      </c>
    </row>
    <row r="46" spans="1:32" s="311" customFormat="1" ht="13.5" thickBot="1" x14ac:dyDescent="0.25">
      <c r="A46" s="299" t="s">
        <v>610</v>
      </c>
      <c r="B46" s="299" t="s">
        <v>23</v>
      </c>
      <c r="C46" s="299" t="s">
        <v>56</v>
      </c>
      <c r="D46" s="301" t="s">
        <v>1033</v>
      </c>
      <c r="E46" s="301" t="s">
        <v>1034</v>
      </c>
      <c r="F46" s="302">
        <v>7800</v>
      </c>
      <c r="G46" s="284"/>
      <c r="H46" s="284"/>
      <c r="I46" s="284"/>
      <c r="J46" s="284"/>
      <c r="K46" s="284"/>
      <c r="L46" s="284"/>
      <c r="M46" s="284"/>
      <c r="N46" s="284"/>
      <c r="O46" s="284"/>
      <c r="P46" s="284"/>
      <c r="Q46" s="284"/>
      <c r="R46" s="284"/>
      <c r="S46" s="284">
        <f t="shared" si="4"/>
        <v>0</v>
      </c>
      <c r="T46" s="274">
        <f t="shared" ca="1" si="5"/>
        <v>-3021</v>
      </c>
      <c r="U46" s="303">
        <v>41361</v>
      </c>
      <c r="V46" s="304" t="s">
        <v>1035</v>
      </c>
      <c r="W46" s="362" t="s">
        <v>1036</v>
      </c>
      <c r="X46" s="305"/>
      <c r="Y46" s="305"/>
      <c r="Z46" s="305"/>
      <c r="AA46" s="305"/>
      <c r="AB46" s="305"/>
      <c r="AC46" s="306"/>
      <c r="AD46" s="307">
        <v>40997</v>
      </c>
      <c r="AE46" s="278">
        <f ca="1">TODAY()-DATE(YEAR(AD46)+6,MONTH(AD46),DAY(AD46))</f>
        <v>1194</v>
      </c>
      <c r="AF46" s="299" t="s">
        <v>48</v>
      </c>
    </row>
    <row r="47" spans="1:32" s="311" customFormat="1" ht="13.5" thickBot="1" x14ac:dyDescent="0.25">
      <c r="A47" s="299" t="s">
        <v>511</v>
      </c>
      <c r="B47" s="299" t="s">
        <v>23</v>
      </c>
      <c r="C47" s="299" t="s">
        <v>56</v>
      </c>
      <c r="D47" s="301" t="s">
        <v>979</v>
      </c>
      <c r="E47" s="301" t="s">
        <v>896</v>
      </c>
      <c r="F47" s="302" t="s">
        <v>978</v>
      </c>
      <c r="G47" s="284"/>
      <c r="H47" s="284"/>
      <c r="I47" s="284"/>
      <c r="J47" s="284"/>
      <c r="K47" s="284">
        <v>0</v>
      </c>
      <c r="L47" s="284">
        <v>0</v>
      </c>
      <c r="M47" s="284">
        <v>0</v>
      </c>
      <c r="N47" s="284">
        <v>0</v>
      </c>
      <c r="O47" s="284">
        <v>0</v>
      </c>
      <c r="P47" s="284"/>
      <c r="Q47" s="284"/>
      <c r="R47" s="284"/>
      <c r="S47" s="284">
        <f t="shared" si="4"/>
        <v>0</v>
      </c>
      <c r="T47" s="274">
        <f t="shared" ca="1" si="5"/>
        <v>-3020</v>
      </c>
      <c r="U47" s="303">
        <v>41362</v>
      </c>
      <c r="V47" s="351" t="s">
        <v>980</v>
      </c>
      <c r="W47" s="310" t="s">
        <v>981</v>
      </c>
      <c r="X47" s="305"/>
      <c r="Y47" s="305"/>
      <c r="Z47" s="305"/>
      <c r="AA47" s="305"/>
      <c r="AB47" s="305"/>
      <c r="AC47" s="306"/>
      <c r="AD47" s="307">
        <v>40816</v>
      </c>
      <c r="AE47" s="278"/>
      <c r="AF47" s="299" t="s">
        <v>48</v>
      </c>
    </row>
    <row r="48" spans="1:32" s="311" customFormat="1" ht="26.25" thickBot="1" x14ac:dyDescent="0.25">
      <c r="A48" s="299" t="s">
        <v>1032</v>
      </c>
      <c r="B48" s="299" t="s">
        <v>23</v>
      </c>
      <c r="C48" s="299" t="s">
        <v>56</v>
      </c>
      <c r="D48" s="301" t="s">
        <v>1038</v>
      </c>
      <c r="E48" s="301" t="s">
        <v>1039</v>
      </c>
      <c r="F48" s="302">
        <v>12112</v>
      </c>
      <c r="G48" s="284"/>
      <c r="H48" s="284"/>
      <c r="I48" s="284"/>
      <c r="J48" s="284"/>
      <c r="K48" s="284"/>
      <c r="L48" s="284"/>
      <c r="M48" s="284"/>
      <c r="N48" s="284"/>
      <c r="O48" s="284"/>
      <c r="P48" s="284"/>
      <c r="Q48" s="284"/>
      <c r="R48" s="284"/>
      <c r="S48" s="284">
        <f t="shared" si="4"/>
        <v>0</v>
      </c>
      <c r="T48" s="274">
        <f t="shared" ca="1" si="5"/>
        <v>-3020</v>
      </c>
      <c r="U48" s="303">
        <v>41362</v>
      </c>
      <c r="V48" s="304" t="s">
        <v>1040</v>
      </c>
      <c r="W48" s="362" t="s">
        <v>1041</v>
      </c>
      <c r="X48" s="305"/>
      <c r="Y48" s="305"/>
      <c r="Z48" s="305"/>
      <c r="AA48" s="305"/>
      <c r="AB48" s="305"/>
      <c r="AC48" s="306"/>
      <c r="AD48" s="307">
        <v>40998</v>
      </c>
      <c r="AE48" s="278">
        <f t="shared" ref="AE48:AE53" ca="1" si="6">TODAY()-DATE(YEAR(AD48)+6,MONTH(AD48),DAY(AD48))</f>
        <v>1193</v>
      </c>
      <c r="AF48" s="299" t="s">
        <v>48</v>
      </c>
    </row>
    <row r="49" spans="1:32" s="311" customFormat="1" ht="13.5" thickBot="1" x14ac:dyDescent="0.25">
      <c r="A49" s="299" t="s">
        <v>894</v>
      </c>
      <c r="B49" s="299" t="s">
        <v>23</v>
      </c>
      <c r="C49" s="299" t="s">
        <v>56</v>
      </c>
      <c r="D49" s="301" t="s">
        <v>856</v>
      </c>
      <c r="E49" s="301" t="s">
        <v>857</v>
      </c>
      <c r="F49" s="302" t="s">
        <v>859</v>
      </c>
      <c r="G49" s="284"/>
      <c r="H49" s="284"/>
      <c r="I49" s="284"/>
      <c r="J49" s="284"/>
      <c r="K49" s="284"/>
      <c r="L49" s="284"/>
      <c r="M49" s="284"/>
      <c r="N49" s="284"/>
      <c r="O49" s="284"/>
      <c r="P49" s="284"/>
      <c r="Q49" s="284"/>
      <c r="R49" s="284"/>
      <c r="S49" s="284">
        <f t="shared" si="4"/>
        <v>0</v>
      </c>
      <c r="T49" s="274">
        <f t="shared" ca="1" si="5"/>
        <v>-2768</v>
      </c>
      <c r="U49" s="303">
        <v>41614</v>
      </c>
      <c r="V49" s="310" t="s">
        <v>860</v>
      </c>
      <c r="W49" s="310" t="s">
        <v>861</v>
      </c>
      <c r="X49" s="305"/>
      <c r="Y49" s="305"/>
      <c r="Z49" s="305"/>
      <c r="AA49" s="305"/>
      <c r="AB49" s="305"/>
      <c r="AC49" s="307"/>
      <c r="AD49" s="325">
        <v>40701</v>
      </c>
      <c r="AE49" s="278">
        <f t="shared" ca="1" si="6"/>
        <v>1489</v>
      </c>
      <c r="AF49" s="299" t="s">
        <v>48</v>
      </c>
    </row>
    <row r="50" spans="1:32" s="311" customFormat="1" ht="30" customHeight="1" thickBot="1" x14ac:dyDescent="0.25">
      <c r="A50" s="299" t="s">
        <v>1037</v>
      </c>
      <c r="B50" s="299" t="s">
        <v>23</v>
      </c>
      <c r="C50" s="299" t="s">
        <v>56</v>
      </c>
      <c r="D50" s="301" t="s">
        <v>287</v>
      </c>
      <c r="E50" s="301" t="s">
        <v>288</v>
      </c>
      <c r="F50" s="302" t="s">
        <v>921</v>
      </c>
      <c r="G50" s="284"/>
      <c r="H50" s="284"/>
      <c r="I50" s="284"/>
      <c r="J50" s="284"/>
      <c r="K50" s="284"/>
      <c r="L50" s="284"/>
      <c r="M50" s="284"/>
      <c r="N50" s="284"/>
      <c r="O50" s="284"/>
      <c r="P50" s="284"/>
      <c r="Q50" s="284"/>
      <c r="R50" s="284"/>
      <c r="S50" s="284">
        <f t="shared" si="4"/>
        <v>0</v>
      </c>
      <c r="T50" s="274">
        <f t="shared" ca="1" si="5"/>
        <v>-3256</v>
      </c>
      <c r="U50" s="309">
        <v>41126</v>
      </c>
      <c r="V50" s="304" t="s">
        <v>966</v>
      </c>
      <c r="W50" s="362" t="s">
        <v>723</v>
      </c>
      <c r="X50" s="305"/>
      <c r="Y50" s="305"/>
      <c r="Z50" s="305"/>
      <c r="AA50" s="305"/>
      <c r="AB50" s="305"/>
      <c r="AC50" s="306"/>
      <c r="AD50" s="307">
        <v>39300</v>
      </c>
      <c r="AE50" s="278">
        <f t="shared" ca="1" si="6"/>
        <v>2890</v>
      </c>
      <c r="AF50" s="299" t="s">
        <v>649</v>
      </c>
    </row>
    <row r="51" spans="1:32" s="311" customFormat="1" ht="30" customHeight="1" thickBot="1" x14ac:dyDescent="0.25">
      <c r="A51" s="299" t="s">
        <v>1042</v>
      </c>
      <c r="B51" s="299" t="s">
        <v>1043</v>
      </c>
      <c r="C51" s="299" t="s">
        <v>617</v>
      </c>
      <c r="D51" s="301" t="s">
        <v>973</v>
      </c>
      <c r="E51" s="301" t="s">
        <v>917</v>
      </c>
      <c r="F51" s="302">
        <v>6500</v>
      </c>
      <c r="G51" s="284"/>
      <c r="H51" s="284"/>
      <c r="I51" s="284"/>
      <c r="J51" s="284"/>
      <c r="K51" s="284"/>
      <c r="L51" s="284"/>
      <c r="M51" s="284"/>
      <c r="N51" s="284"/>
      <c r="O51" s="284"/>
      <c r="P51" s="284"/>
      <c r="Q51" s="284"/>
      <c r="R51" s="284"/>
      <c r="S51" s="284">
        <f t="shared" si="4"/>
        <v>0</v>
      </c>
      <c r="T51" s="274">
        <f t="shared" ca="1" si="5"/>
        <v>-3175</v>
      </c>
      <c r="U51" s="309">
        <v>41207</v>
      </c>
      <c r="V51" s="304" t="s">
        <v>918</v>
      </c>
      <c r="W51" s="362"/>
      <c r="X51" s="305"/>
      <c r="Y51" s="305"/>
      <c r="Z51" s="305"/>
      <c r="AA51" s="305"/>
      <c r="AB51" s="305"/>
      <c r="AC51" s="306"/>
      <c r="AD51" s="307">
        <v>40842</v>
      </c>
      <c r="AE51" s="278">
        <f t="shared" ca="1" si="6"/>
        <v>1348</v>
      </c>
      <c r="AF51" s="299" t="s">
        <v>649</v>
      </c>
    </row>
    <row r="52" spans="1:32" s="311" customFormat="1" ht="30" customHeight="1" thickBot="1" x14ac:dyDescent="0.25">
      <c r="A52" s="299" t="s">
        <v>718</v>
      </c>
      <c r="B52" s="299" t="s">
        <v>719</v>
      </c>
      <c r="C52" s="299" t="s">
        <v>617</v>
      </c>
      <c r="D52" s="301" t="s">
        <v>50</v>
      </c>
      <c r="E52" s="301" t="s">
        <v>51</v>
      </c>
      <c r="F52" s="302" t="s">
        <v>848</v>
      </c>
      <c r="G52" s="284"/>
      <c r="H52" s="284"/>
      <c r="I52" s="284"/>
      <c r="J52" s="284"/>
      <c r="K52" s="284"/>
      <c r="L52" s="284"/>
      <c r="M52" s="284"/>
      <c r="N52" s="284"/>
      <c r="O52" s="284"/>
      <c r="P52" s="284"/>
      <c r="Q52" s="284"/>
      <c r="R52" s="284"/>
      <c r="S52" s="284">
        <f t="shared" si="4"/>
        <v>0</v>
      </c>
      <c r="T52" s="274">
        <f t="shared" ca="1" si="5"/>
        <v>-3361</v>
      </c>
      <c r="U52" s="303">
        <v>41021</v>
      </c>
      <c r="V52" s="304" t="s">
        <v>849</v>
      </c>
      <c r="W52" s="362" t="s">
        <v>738</v>
      </c>
      <c r="X52" s="305"/>
      <c r="Y52" s="305"/>
      <c r="Z52" s="305"/>
      <c r="AA52" s="305"/>
      <c r="AB52" s="305"/>
      <c r="AC52" s="306"/>
      <c r="AD52" s="307">
        <v>39926</v>
      </c>
      <c r="AE52" s="278">
        <f t="shared" ca="1" si="6"/>
        <v>2265</v>
      </c>
      <c r="AF52" s="299" t="s">
        <v>54</v>
      </c>
    </row>
    <row r="53" spans="1:32" s="311" customFormat="1" ht="29.25" customHeight="1" thickBot="1" x14ac:dyDescent="0.25">
      <c r="A53" s="326" t="s">
        <v>23</v>
      </c>
      <c r="B53" s="300" t="s">
        <v>23</v>
      </c>
      <c r="C53" s="299" t="s">
        <v>24</v>
      </c>
      <c r="D53" s="301" t="s">
        <v>171</v>
      </c>
      <c r="E53" s="301" t="s">
        <v>779</v>
      </c>
      <c r="F53" s="302" t="s">
        <v>659</v>
      </c>
      <c r="G53" s="284"/>
      <c r="H53" s="284"/>
      <c r="I53" s="284"/>
      <c r="J53" s="284"/>
      <c r="K53" s="284"/>
      <c r="L53" s="284"/>
      <c r="M53" s="284"/>
      <c r="N53" s="284"/>
      <c r="O53" s="284"/>
      <c r="P53" s="284"/>
      <c r="Q53" s="284"/>
      <c r="R53" s="284"/>
      <c r="S53" s="284">
        <f t="shared" si="4"/>
        <v>0</v>
      </c>
      <c r="T53" s="274">
        <f t="shared" ca="1" si="5"/>
        <v>-3104</v>
      </c>
      <c r="U53" s="303">
        <v>41278</v>
      </c>
      <c r="V53" s="304" t="s">
        <v>950</v>
      </c>
      <c r="W53" s="362" t="s">
        <v>753</v>
      </c>
      <c r="X53" s="305"/>
      <c r="Y53" s="305"/>
      <c r="Z53" s="305"/>
      <c r="AA53" s="305"/>
      <c r="AB53" s="305"/>
      <c r="AC53" s="306"/>
      <c r="AD53" s="307">
        <v>40182</v>
      </c>
      <c r="AE53" s="278">
        <f t="shared" ca="1" si="6"/>
        <v>2009</v>
      </c>
      <c r="AF53" s="299" t="s">
        <v>54</v>
      </c>
    </row>
    <row r="54" spans="1:32" s="311" customFormat="1" ht="15" customHeight="1" thickBot="1" x14ac:dyDescent="0.25">
      <c r="A54" s="299" t="s">
        <v>855</v>
      </c>
      <c r="B54" s="299" t="s">
        <v>667</v>
      </c>
      <c r="C54" s="299" t="s">
        <v>772</v>
      </c>
      <c r="D54" s="301" t="s">
        <v>1022</v>
      </c>
      <c r="E54" s="349" t="s">
        <v>968</v>
      </c>
      <c r="F54" s="302" t="s">
        <v>972</v>
      </c>
      <c r="G54" s="360">
        <v>0</v>
      </c>
      <c r="H54" s="360">
        <v>0</v>
      </c>
      <c r="I54" s="360">
        <v>0</v>
      </c>
      <c r="J54" s="360">
        <v>0</v>
      </c>
      <c r="K54" s="360">
        <v>0</v>
      </c>
      <c r="L54" s="360">
        <v>0</v>
      </c>
      <c r="M54" s="360">
        <v>0</v>
      </c>
      <c r="N54" s="360">
        <v>0</v>
      </c>
      <c r="O54" s="360"/>
      <c r="P54" s="360"/>
      <c r="Q54" s="360"/>
      <c r="R54" s="360"/>
      <c r="S54" s="284">
        <f t="shared" si="4"/>
        <v>0</v>
      </c>
      <c r="T54" s="361"/>
      <c r="U54" s="303" t="s">
        <v>233</v>
      </c>
      <c r="V54" s="304" t="s">
        <v>969</v>
      </c>
      <c r="W54" s="390" t="s">
        <v>1014</v>
      </c>
      <c r="X54" s="305"/>
      <c r="Y54" s="305"/>
      <c r="Z54" s="305"/>
      <c r="AA54" s="305"/>
      <c r="AB54" s="305"/>
      <c r="AC54" s="306"/>
      <c r="AD54" s="307">
        <v>36819</v>
      </c>
      <c r="AE54" s="363"/>
      <c r="AF54" s="326" t="s">
        <v>54</v>
      </c>
    </row>
    <row r="55" spans="1:32" s="311" customFormat="1" ht="18.75" customHeight="1" x14ac:dyDescent="0.2">
      <c r="A55" s="326" t="s">
        <v>23</v>
      </c>
      <c r="B55" s="300" t="s">
        <v>23</v>
      </c>
      <c r="C55" s="299" t="s">
        <v>372</v>
      </c>
      <c r="D55" s="301" t="s">
        <v>303</v>
      </c>
      <c r="E55" s="349" t="s">
        <v>971</v>
      </c>
      <c r="F55" s="302" t="s">
        <v>972</v>
      </c>
      <c r="G55" s="360">
        <v>0</v>
      </c>
      <c r="H55" s="360">
        <v>0</v>
      </c>
      <c r="I55" s="360">
        <v>0</v>
      </c>
      <c r="J55" s="360">
        <v>0</v>
      </c>
      <c r="K55" s="360">
        <v>0</v>
      </c>
      <c r="L55" s="360">
        <v>0</v>
      </c>
      <c r="M55" s="360">
        <v>0</v>
      </c>
      <c r="N55" s="360">
        <v>0</v>
      </c>
      <c r="O55" s="360"/>
      <c r="P55" s="360"/>
      <c r="Q55" s="360"/>
      <c r="R55" s="360"/>
      <c r="S55" s="284">
        <f t="shared" si="4"/>
        <v>0</v>
      </c>
      <c r="T55" s="371">
        <f ca="1">U55-$AE$2</f>
        <v>-2769</v>
      </c>
      <c r="U55" s="303">
        <v>41613</v>
      </c>
      <c r="V55" s="304" t="s">
        <v>970</v>
      </c>
      <c r="W55" s="298" t="s">
        <v>727</v>
      </c>
      <c r="X55" s="305"/>
      <c r="Y55" s="305"/>
      <c r="Z55" s="305"/>
      <c r="AA55" s="305"/>
      <c r="AB55" s="305"/>
      <c r="AC55" s="306"/>
      <c r="AD55" s="307"/>
      <c r="AE55" s="363"/>
      <c r="AF55" s="326"/>
    </row>
    <row r="56" spans="1:32" s="1" customFormat="1" ht="20.100000000000001" customHeight="1" x14ac:dyDescent="0.2">
      <c r="A56" s="52"/>
      <c r="B56" s="52"/>
      <c r="C56" s="52"/>
      <c r="D56" s="53" t="s">
        <v>236</v>
      </c>
      <c r="E56" s="54" t="s">
        <v>239</v>
      </c>
      <c r="F56" s="2"/>
      <c r="G56" s="2"/>
      <c r="H56" s="2"/>
      <c r="I56" s="2"/>
      <c r="J56" s="2"/>
      <c r="K56" s="2"/>
      <c r="L56" s="2"/>
      <c r="M56" s="2"/>
      <c r="N56" s="2"/>
      <c r="O56" s="2"/>
      <c r="P56" s="2"/>
      <c r="Q56" s="2"/>
      <c r="R56" s="2"/>
      <c r="S56" s="2"/>
      <c r="T56" s="2"/>
      <c r="U56" s="74"/>
      <c r="V56" s="2"/>
      <c r="W56" s="6"/>
      <c r="AC56" s="55"/>
    </row>
    <row r="57" spans="1:32" s="1" customFormat="1" ht="20.100000000000001" customHeight="1" x14ac:dyDescent="0.2">
      <c r="A57" s="52"/>
      <c r="B57" s="52"/>
      <c r="C57" s="52"/>
      <c r="D57" s="53" t="s">
        <v>237</v>
      </c>
      <c r="E57" s="253" t="s">
        <v>388</v>
      </c>
      <c r="F57" s="2"/>
      <c r="G57" s="2"/>
      <c r="H57" s="2"/>
      <c r="I57" s="2"/>
      <c r="J57" s="2"/>
      <c r="K57" s="2"/>
      <c r="L57" s="2"/>
      <c r="M57" s="2"/>
      <c r="N57" s="2"/>
      <c r="O57" s="2"/>
      <c r="P57" s="2"/>
      <c r="Q57" s="2"/>
      <c r="R57" s="2"/>
      <c r="S57" s="2"/>
      <c r="T57" s="2"/>
      <c r="U57" s="74"/>
      <c r="V57" s="2"/>
      <c r="W57" s="6"/>
      <c r="AC57" s="55"/>
    </row>
    <row r="58" spans="1:32" s="1" customFormat="1" ht="20.100000000000001" customHeight="1" x14ac:dyDescent="0.2">
      <c r="D58" s="53" t="s">
        <v>238</v>
      </c>
      <c r="E58" s="253" t="s">
        <v>389</v>
      </c>
      <c r="F58" s="2"/>
      <c r="G58" s="2"/>
      <c r="H58" s="2"/>
      <c r="I58" s="2"/>
      <c r="J58" s="2"/>
      <c r="K58" s="2"/>
      <c r="L58" s="2"/>
      <c r="M58" s="2"/>
      <c r="N58" s="2"/>
      <c r="O58" s="2"/>
      <c r="P58" s="2"/>
      <c r="Q58" s="2"/>
      <c r="R58" s="2"/>
      <c r="S58" s="2"/>
      <c r="T58" s="2"/>
      <c r="U58" s="55"/>
      <c r="V58" s="2"/>
      <c r="W58" s="6"/>
      <c r="AC58" s="55"/>
    </row>
    <row r="59" spans="1:32" s="1" customFormat="1" ht="20.100000000000001" customHeight="1" x14ac:dyDescent="0.2">
      <c r="E59" s="253" t="s">
        <v>390</v>
      </c>
      <c r="F59" s="2"/>
      <c r="G59" s="2"/>
      <c r="H59" s="2"/>
      <c r="I59" s="2"/>
      <c r="J59" s="2"/>
      <c r="K59" s="2"/>
      <c r="L59" s="2"/>
      <c r="M59" s="2"/>
      <c r="N59" s="2"/>
      <c r="O59" s="2"/>
      <c r="P59" s="2"/>
      <c r="Q59" s="2"/>
      <c r="R59" s="2"/>
      <c r="S59" s="2"/>
      <c r="T59" s="2"/>
      <c r="U59" s="55"/>
      <c r="V59" s="2"/>
      <c r="W59" s="6"/>
      <c r="AC59" s="55"/>
    </row>
    <row r="60" spans="1:32" s="1" customFormat="1" ht="20.100000000000001" customHeight="1" x14ac:dyDescent="0.2">
      <c r="E60" s="253" t="s">
        <v>702</v>
      </c>
      <c r="F60" s="2"/>
      <c r="G60" s="2"/>
      <c r="H60" s="2"/>
      <c r="I60" s="2"/>
      <c r="J60" s="2"/>
      <c r="K60" s="2"/>
      <c r="L60" s="2"/>
      <c r="M60" s="2"/>
      <c r="N60" s="2"/>
      <c r="O60" s="2"/>
      <c r="P60" s="2"/>
      <c r="Q60" s="2"/>
      <c r="R60" s="2"/>
      <c r="S60" s="2"/>
      <c r="T60" s="2"/>
      <c r="U60" s="55"/>
      <c r="V60" s="2"/>
      <c r="W60" s="6"/>
      <c r="AC60" s="55"/>
    </row>
    <row r="61" spans="1:32" s="1" customFormat="1" ht="20.100000000000001" customHeight="1" x14ac:dyDescent="0.2">
      <c r="E61" s="253" t="s">
        <v>858</v>
      </c>
      <c r="F61" s="2"/>
      <c r="G61" s="2"/>
      <c r="H61" s="2"/>
      <c r="I61" s="2"/>
      <c r="J61" s="2"/>
      <c r="K61" s="2"/>
      <c r="L61" s="2"/>
      <c r="M61" s="2"/>
      <c r="N61" s="2"/>
      <c r="O61" s="2"/>
      <c r="P61" s="2"/>
      <c r="Q61" s="2"/>
      <c r="R61" s="2"/>
      <c r="S61" s="2"/>
      <c r="T61" s="2"/>
      <c r="U61" s="55"/>
      <c r="V61" s="2"/>
      <c r="W61" s="6"/>
      <c r="AC61" s="55"/>
    </row>
    <row r="62" spans="1:32" x14ac:dyDescent="0.2">
      <c r="E62" s="54" t="s">
        <v>938</v>
      </c>
    </row>
  </sheetData>
  <mergeCells count="14">
    <mergeCell ref="AC3:AC4"/>
    <mergeCell ref="AF3:AF4"/>
    <mergeCell ref="G3:S3"/>
    <mergeCell ref="T3:T4"/>
    <mergeCell ref="U3:U4"/>
    <mergeCell ref="V3:V4"/>
    <mergeCell ref="W3:W4"/>
    <mergeCell ref="X3:AB3"/>
    <mergeCell ref="A3:A4"/>
    <mergeCell ref="B3:B4"/>
    <mergeCell ref="C3:C4"/>
    <mergeCell ref="D3:D4"/>
    <mergeCell ref="E3:E4"/>
    <mergeCell ref="F3:F4"/>
  </mergeCells>
  <conditionalFormatting sqref="AE7 AE9:AE54">
    <cfRule type="expression" dxfId="44" priority="37" stopIfTrue="1">
      <formula>$AE7&gt;=-120</formula>
    </cfRule>
  </conditionalFormatting>
  <conditionalFormatting sqref="AE5:AE6">
    <cfRule type="expression" dxfId="43" priority="36" stopIfTrue="1">
      <formula>$AE5&gt;=-120</formula>
    </cfRule>
  </conditionalFormatting>
  <conditionalFormatting sqref="AE37">
    <cfRule type="expression" dxfId="42" priority="35" stopIfTrue="1">
      <formula>$AE37&gt;=-120</formula>
    </cfRule>
  </conditionalFormatting>
  <conditionalFormatting sqref="AE7">
    <cfRule type="expression" dxfId="41" priority="34" stopIfTrue="1">
      <formula>$AE7&gt;=-120</formula>
    </cfRule>
  </conditionalFormatting>
  <conditionalFormatting sqref="AE9">
    <cfRule type="expression" dxfId="40" priority="33" stopIfTrue="1">
      <formula>$AE9&gt;=-120</formula>
    </cfRule>
  </conditionalFormatting>
  <conditionalFormatting sqref="AE13">
    <cfRule type="expression" dxfId="39" priority="32" stopIfTrue="1">
      <formula>$AE13&gt;=-120</formula>
    </cfRule>
  </conditionalFormatting>
  <conditionalFormatting sqref="AE14">
    <cfRule type="expression" dxfId="38" priority="31" stopIfTrue="1">
      <formula>$AE14&gt;=-120</formula>
    </cfRule>
  </conditionalFormatting>
  <conditionalFormatting sqref="AE15">
    <cfRule type="expression" dxfId="37" priority="30" stopIfTrue="1">
      <formula>$AE15&gt;=-120</formula>
    </cfRule>
  </conditionalFormatting>
  <conditionalFormatting sqref="AE16">
    <cfRule type="expression" dxfId="36" priority="29" stopIfTrue="1">
      <formula>$AE16&gt;=-120</formula>
    </cfRule>
  </conditionalFormatting>
  <conditionalFormatting sqref="AE18">
    <cfRule type="expression" dxfId="35" priority="28" stopIfTrue="1">
      <formula>$AE18&gt;=-120</formula>
    </cfRule>
  </conditionalFormatting>
  <conditionalFormatting sqref="AE19">
    <cfRule type="expression" dxfId="34" priority="27" stopIfTrue="1">
      <formula>$AE19&gt;=-120</formula>
    </cfRule>
  </conditionalFormatting>
  <conditionalFormatting sqref="AE20">
    <cfRule type="expression" dxfId="33" priority="26" stopIfTrue="1">
      <formula>$AE20&gt;=-120</formula>
    </cfRule>
  </conditionalFormatting>
  <conditionalFormatting sqref="AE21">
    <cfRule type="expression" dxfId="32" priority="25" stopIfTrue="1">
      <formula>$AE21&gt;=-120</formula>
    </cfRule>
  </conditionalFormatting>
  <conditionalFormatting sqref="AE22">
    <cfRule type="expression" dxfId="31" priority="24" stopIfTrue="1">
      <formula>$AE22&gt;=-120</formula>
    </cfRule>
  </conditionalFormatting>
  <conditionalFormatting sqref="AE23">
    <cfRule type="expression" dxfId="30" priority="23" stopIfTrue="1">
      <formula>$AE23&gt;=-120</formula>
    </cfRule>
  </conditionalFormatting>
  <conditionalFormatting sqref="AE24">
    <cfRule type="expression" dxfId="29" priority="22" stopIfTrue="1">
      <formula>$AE24&gt;=-120</formula>
    </cfRule>
  </conditionalFormatting>
  <conditionalFormatting sqref="AE25">
    <cfRule type="expression" dxfId="28" priority="21" stopIfTrue="1">
      <formula>$AE25&gt;=-120</formula>
    </cfRule>
  </conditionalFormatting>
  <conditionalFormatting sqref="AE26">
    <cfRule type="expression" dxfId="27" priority="20" stopIfTrue="1">
      <formula>$AE26&gt;=-120</formula>
    </cfRule>
  </conditionalFormatting>
  <conditionalFormatting sqref="AE27">
    <cfRule type="expression" dxfId="26" priority="19" stopIfTrue="1">
      <formula>$AE27&gt;=-120</formula>
    </cfRule>
  </conditionalFormatting>
  <conditionalFormatting sqref="AE28">
    <cfRule type="expression" dxfId="25" priority="18" stopIfTrue="1">
      <formula>$AE28&gt;=-120</formula>
    </cfRule>
  </conditionalFormatting>
  <conditionalFormatting sqref="AE29">
    <cfRule type="expression" dxfId="24" priority="17" stopIfTrue="1">
      <formula>$AE29&gt;=-120</formula>
    </cfRule>
  </conditionalFormatting>
  <conditionalFormatting sqref="AE30">
    <cfRule type="expression" dxfId="23" priority="16" stopIfTrue="1">
      <formula>$AE30&gt;=-120</formula>
    </cfRule>
  </conditionalFormatting>
  <conditionalFormatting sqref="AE31">
    <cfRule type="expression" dxfId="22" priority="15" stopIfTrue="1">
      <formula>$AE31&gt;=-120</formula>
    </cfRule>
  </conditionalFormatting>
  <conditionalFormatting sqref="AE32">
    <cfRule type="expression" dxfId="21" priority="14" stopIfTrue="1">
      <formula>$AE32&gt;=-120</formula>
    </cfRule>
  </conditionalFormatting>
  <conditionalFormatting sqref="AE33">
    <cfRule type="expression" dxfId="20" priority="13" stopIfTrue="1">
      <formula>$AE33&gt;=-120</formula>
    </cfRule>
  </conditionalFormatting>
  <conditionalFormatting sqref="AE34">
    <cfRule type="expression" dxfId="19" priority="12" stopIfTrue="1">
      <formula>$AE34&gt;=-120</formula>
    </cfRule>
  </conditionalFormatting>
  <conditionalFormatting sqref="AE35">
    <cfRule type="expression" dxfId="18" priority="11" stopIfTrue="1">
      <formula>$AE35&gt;=-120</formula>
    </cfRule>
  </conditionalFormatting>
  <conditionalFormatting sqref="AE36">
    <cfRule type="expression" dxfId="17" priority="10" stopIfTrue="1">
      <formula>$AE36&gt;=-120</formula>
    </cfRule>
  </conditionalFormatting>
  <conditionalFormatting sqref="AE37">
    <cfRule type="expression" dxfId="16" priority="9" stopIfTrue="1">
      <formula>$AE37&gt;=-120</formula>
    </cfRule>
  </conditionalFormatting>
  <conditionalFormatting sqref="AE38">
    <cfRule type="expression" dxfId="15" priority="8" stopIfTrue="1">
      <formula>$AE38&gt;=-120</formula>
    </cfRule>
  </conditionalFormatting>
  <conditionalFormatting sqref="AE39">
    <cfRule type="expression" dxfId="14" priority="7" stopIfTrue="1">
      <formula>$AE39&gt;=-120</formula>
    </cfRule>
  </conditionalFormatting>
  <conditionalFormatting sqref="AE40">
    <cfRule type="expression" dxfId="13" priority="6" stopIfTrue="1">
      <formula>$AE40&gt;=-120</formula>
    </cfRule>
  </conditionalFormatting>
  <conditionalFormatting sqref="AE41">
    <cfRule type="expression" dxfId="12" priority="5" stopIfTrue="1">
      <formula>$AE41&gt;=-120</formula>
    </cfRule>
  </conditionalFormatting>
  <conditionalFormatting sqref="AE42">
    <cfRule type="expression" dxfId="11" priority="4" stopIfTrue="1">
      <formula>$AE42&gt;=-120</formula>
    </cfRule>
  </conditionalFormatting>
  <conditionalFormatting sqref="AE43">
    <cfRule type="expression" dxfId="10" priority="3" stopIfTrue="1">
      <formula>$AE43&gt;=-120</formula>
    </cfRule>
  </conditionalFormatting>
  <conditionalFormatting sqref="AE44">
    <cfRule type="expression" dxfId="9" priority="2" stopIfTrue="1">
      <formula>$AE44&gt;=-120</formula>
    </cfRule>
  </conditionalFormatting>
  <conditionalFormatting sqref="AE55">
    <cfRule type="expression" dxfId="8" priority="1" stopIfTrue="1">
      <formula>$AE55&gt;=-120</formula>
    </cfRule>
  </conditionalFormatting>
  <pageMargins left="0.11811023622047245" right="0.11811023622047245" top="0.19685039370078741" bottom="0.19685039370078741" header="3.937007874015748E-2" footer="3.937007874015748E-2"/>
  <pageSetup paperSize="9" scale="76" orientation="landscape" horizontalDpi="300" verticalDpi="300"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125"/>
  <sheetViews>
    <sheetView topLeftCell="F1" zoomScale="84" zoomScaleNormal="84" workbookViewId="0">
      <pane ySplit="5" topLeftCell="A88" activePane="bottomLeft" state="frozen"/>
      <selection pane="bottomLeft" activeCell="U91" sqref="U91"/>
    </sheetView>
  </sheetViews>
  <sheetFormatPr defaultRowHeight="12.75" x14ac:dyDescent="0.2"/>
  <cols>
    <col min="1" max="1" width="15" bestFit="1" customWidth="1"/>
    <col min="2" max="2" width="11.7109375" customWidth="1"/>
    <col min="3" max="3" width="14.5703125" customWidth="1"/>
    <col min="4" max="4" width="28.140625" customWidth="1"/>
    <col min="5" max="5" width="42.140625" customWidth="1"/>
    <col min="6" max="6" width="21.42578125" bestFit="1" customWidth="1"/>
    <col min="7" max="8" width="12.140625" bestFit="1" customWidth="1"/>
    <col min="9" max="11" width="13.28515625" bestFit="1" customWidth="1"/>
    <col min="12" max="16" width="12.140625" bestFit="1" customWidth="1"/>
    <col min="17" max="18" width="13.28515625" bestFit="1" customWidth="1"/>
    <col min="19" max="19" width="18.7109375" bestFit="1" customWidth="1"/>
    <col min="20" max="20" width="17.5703125" bestFit="1" customWidth="1"/>
    <col min="21" max="21" width="10.28515625" bestFit="1" customWidth="1"/>
    <col min="22" max="22" width="37.140625" customWidth="1"/>
    <col min="23" max="23" width="18.28515625" bestFit="1" customWidth="1"/>
    <col min="24" max="25" width="3.28515625" customWidth="1"/>
    <col min="26" max="26" width="2.85546875" customWidth="1"/>
    <col min="27" max="27" width="4.28515625" customWidth="1"/>
    <col min="28" max="28" width="3.140625" customWidth="1"/>
    <col min="29" max="29" width="10.85546875" customWidth="1"/>
    <col min="30" max="30" width="12.85546875" customWidth="1"/>
    <col min="31" max="31" width="15" bestFit="1" customWidth="1"/>
  </cols>
  <sheetData>
    <row r="1" spans="1:32" x14ac:dyDescent="0.2">
      <c r="C1" s="540"/>
      <c r="D1" t="s">
        <v>1390</v>
      </c>
    </row>
    <row r="2" spans="1:32" ht="18" customHeight="1" x14ac:dyDescent="0.2">
      <c r="C2" s="566"/>
      <c r="T2" s="564"/>
      <c r="U2" s="564"/>
      <c r="V2" s="564"/>
      <c r="AE2" s="489" t="s">
        <v>0</v>
      </c>
    </row>
    <row r="3" spans="1:32" ht="15.75" customHeight="1" thickBot="1" x14ac:dyDescent="0.25">
      <c r="C3" s="541"/>
      <c r="T3" s="565"/>
      <c r="U3" s="565"/>
      <c r="V3" s="565"/>
      <c r="AE3" s="490">
        <f ca="1">TODAY()</f>
        <v>44382</v>
      </c>
    </row>
    <row r="4" spans="1:32" ht="14.25" customHeight="1" thickBot="1" x14ac:dyDescent="0.25">
      <c r="A4" s="988" t="s">
        <v>2</v>
      </c>
      <c r="B4" s="990" t="s">
        <v>3</v>
      </c>
      <c r="C4" s="990" t="s">
        <v>4</v>
      </c>
      <c r="D4" s="991" t="s">
        <v>5</v>
      </c>
      <c r="E4" s="991" t="s">
        <v>6</v>
      </c>
      <c r="F4" s="991" t="s">
        <v>7</v>
      </c>
      <c r="G4" s="993" t="s">
        <v>1300</v>
      </c>
      <c r="H4" s="993"/>
      <c r="I4" s="993"/>
      <c r="J4" s="993"/>
      <c r="K4" s="993"/>
      <c r="L4" s="993"/>
      <c r="M4" s="993"/>
      <c r="N4" s="993"/>
      <c r="O4" s="993"/>
      <c r="P4" s="993"/>
      <c r="Q4" s="993"/>
      <c r="R4" s="993"/>
      <c r="S4" s="993"/>
      <c r="T4" s="990" t="s">
        <v>241</v>
      </c>
      <c r="U4" s="995" t="s">
        <v>8</v>
      </c>
      <c r="V4" s="991" t="s">
        <v>9</v>
      </c>
      <c r="W4" s="991" t="s">
        <v>10</v>
      </c>
      <c r="X4" s="994" t="s">
        <v>11</v>
      </c>
      <c r="Y4" s="994"/>
      <c r="Z4" s="994"/>
      <c r="AA4" s="994"/>
      <c r="AB4" s="994"/>
      <c r="AC4" s="995" t="s">
        <v>1421</v>
      </c>
      <c r="AD4" s="999" t="s">
        <v>243</v>
      </c>
      <c r="AE4" s="486" t="s">
        <v>820</v>
      </c>
      <c r="AF4" s="997" t="s">
        <v>15</v>
      </c>
    </row>
    <row r="5" spans="1:32" ht="39.75" customHeight="1" thickTop="1" thickBot="1" x14ac:dyDescent="0.25">
      <c r="A5" s="989"/>
      <c r="B5" s="959"/>
      <c r="C5" s="959"/>
      <c r="D5" s="992"/>
      <c r="E5" s="992"/>
      <c r="F5" s="992"/>
      <c r="G5" s="266" t="s">
        <v>822</v>
      </c>
      <c r="H5" s="266" t="s">
        <v>823</v>
      </c>
      <c r="I5" s="266" t="s">
        <v>824</v>
      </c>
      <c r="J5" s="266" t="s">
        <v>825</v>
      </c>
      <c r="K5" s="266" t="s">
        <v>826</v>
      </c>
      <c r="L5" s="266" t="s">
        <v>827</v>
      </c>
      <c r="M5" s="266" t="s">
        <v>828</v>
      </c>
      <c r="N5" s="266" t="s">
        <v>829</v>
      </c>
      <c r="O5" s="266" t="s">
        <v>830</v>
      </c>
      <c r="P5" s="266" t="s">
        <v>831</v>
      </c>
      <c r="Q5" s="266" t="s">
        <v>832</v>
      </c>
      <c r="R5" s="266" t="s">
        <v>833</v>
      </c>
      <c r="S5" s="266" t="s">
        <v>1253</v>
      </c>
      <c r="T5" s="992"/>
      <c r="U5" s="996"/>
      <c r="V5" s="992"/>
      <c r="W5" s="992"/>
      <c r="X5" s="487" t="s">
        <v>16</v>
      </c>
      <c r="Y5" s="487" t="s">
        <v>17</v>
      </c>
      <c r="Z5" s="487" t="s">
        <v>18</v>
      </c>
      <c r="AA5" s="487" t="s">
        <v>19</v>
      </c>
      <c r="AB5" s="487" t="s">
        <v>20</v>
      </c>
      <c r="AC5" s="996"/>
      <c r="AD5" s="1000"/>
      <c r="AE5" s="488" t="s">
        <v>244</v>
      </c>
      <c r="AF5" s="998"/>
    </row>
    <row r="6" spans="1:32" s="541" customFormat="1" ht="39" thickBot="1" x14ac:dyDescent="0.25">
      <c r="A6" s="557" t="s">
        <v>1288</v>
      </c>
      <c r="B6" s="280" t="s">
        <v>1289</v>
      </c>
      <c r="C6" s="280" t="s">
        <v>1302</v>
      </c>
      <c r="D6" s="290" t="s">
        <v>1291</v>
      </c>
      <c r="E6" s="290" t="s">
        <v>1292</v>
      </c>
      <c r="F6" s="291">
        <v>130089.93</v>
      </c>
      <c r="G6" s="542">
        <v>0</v>
      </c>
      <c r="H6" s="542">
        <v>0</v>
      </c>
      <c r="I6" s="542">
        <v>0</v>
      </c>
      <c r="J6" s="542">
        <v>0</v>
      </c>
      <c r="K6" s="542">
        <v>0</v>
      </c>
      <c r="L6" s="542">
        <v>0</v>
      </c>
      <c r="M6" s="542">
        <v>0</v>
      </c>
      <c r="N6" s="542">
        <v>0</v>
      </c>
      <c r="O6" s="542">
        <v>0</v>
      </c>
      <c r="P6" s="542">
        <v>10479.469999999999</v>
      </c>
      <c r="Q6" s="542">
        <v>10840.83</v>
      </c>
      <c r="R6" s="542">
        <v>10840.83</v>
      </c>
      <c r="S6" s="360">
        <f>SUM(G6:R6)</f>
        <v>32161.129999999997</v>
      </c>
      <c r="T6" s="361">
        <f t="shared" ref="T6:T48" ca="1" si="0">U6-$AE$3</f>
        <v>-2499</v>
      </c>
      <c r="U6" s="285">
        <v>41883</v>
      </c>
      <c r="V6" s="286" t="s">
        <v>1293</v>
      </c>
      <c r="W6" s="362" t="s">
        <v>1301</v>
      </c>
      <c r="X6" s="287"/>
      <c r="Y6" s="287"/>
      <c r="Z6" s="287"/>
      <c r="AA6" s="287"/>
      <c r="AB6" s="287"/>
      <c r="AC6" s="285"/>
      <c r="AD6" s="294">
        <v>41519</v>
      </c>
      <c r="AE6" s="363">
        <f ca="1">TODAY()-DATE(YEAR(AD6)+6,MONTH(AD6),DAY(AD6))</f>
        <v>672</v>
      </c>
      <c r="AF6" s="280" t="s">
        <v>48</v>
      </c>
    </row>
    <row r="7" spans="1:32" s="541" customFormat="1" ht="39" thickBot="1" x14ac:dyDescent="0.25">
      <c r="A7" s="474" t="s">
        <v>790</v>
      </c>
      <c r="B7" s="485" t="s">
        <v>23</v>
      </c>
      <c r="C7" s="299" t="s">
        <v>1303</v>
      </c>
      <c r="D7" s="301" t="s">
        <v>1143</v>
      </c>
      <c r="E7" s="464" t="s">
        <v>1145</v>
      </c>
      <c r="F7" s="558">
        <v>0</v>
      </c>
      <c r="G7" s="558" t="s">
        <v>314</v>
      </c>
      <c r="H7" s="542">
        <v>29.75</v>
      </c>
      <c r="I7" s="558" t="s">
        <v>314</v>
      </c>
      <c r="J7" s="558" t="s">
        <v>314</v>
      </c>
      <c r="K7" s="558" t="s">
        <v>314</v>
      </c>
      <c r="L7" s="542">
        <v>579.52</v>
      </c>
      <c r="M7" s="542">
        <v>883.86</v>
      </c>
      <c r="N7" s="542">
        <v>941.97</v>
      </c>
      <c r="O7" s="558" t="s">
        <v>314</v>
      </c>
      <c r="P7" s="558" t="s">
        <v>314</v>
      </c>
      <c r="Q7" s="558" t="s">
        <v>314</v>
      </c>
      <c r="R7" s="558" t="s">
        <v>314</v>
      </c>
      <c r="S7" s="360">
        <f>SUM(G7:R7)</f>
        <v>2435.1000000000004</v>
      </c>
      <c r="T7" s="361">
        <f t="shared" ca="1" si="0"/>
        <v>-2523</v>
      </c>
      <c r="U7" s="303">
        <v>41859</v>
      </c>
      <c r="V7" s="359" t="s">
        <v>1298</v>
      </c>
      <c r="W7" s="362" t="s">
        <v>1306</v>
      </c>
      <c r="X7" s="479"/>
      <c r="Y7" s="479"/>
      <c r="Z7" s="479"/>
      <c r="AA7" s="479"/>
      <c r="AB7" s="479"/>
      <c r="AC7" s="480"/>
      <c r="AD7" s="307">
        <v>41130</v>
      </c>
      <c r="AE7" s="363">
        <f ca="1">TODAY()-DATE(YEAR(AD7)+5,MONTH(AD7),DAY(AD7))</f>
        <v>1426</v>
      </c>
      <c r="AF7" s="474" t="s">
        <v>1295</v>
      </c>
    </row>
    <row r="8" spans="1:32" s="541" customFormat="1" ht="39" thickBot="1" x14ac:dyDescent="0.25">
      <c r="A8" s="474" t="s">
        <v>1294</v>
      </c>
      <c r="B8" s="299" t="s">
        <v>1315</v>
      </c>
      <c r="C8" s="299" t="s">
        <v>37</v>
      </c>
      <c r="D8" s="301" t="s">
        <v>1259</v>
      </c>
      <c r="E8" s="301" t="s">
        <v>1260</v>
      </c>
      <c r="F8" s="302" t="s">
        <v>1304</v>
      </c>
      <c r="G8" s="558" t="s">
        <v>314</v>
      </c>
      <c r="H8" s="558" t="s">
        <v>314</v>
      </c>
      <c r="I8" s="558" t="s">
        <v>314</v>
      </c>
      <c r="J8" s="558" t="s">
        <v>314</v>
      </c>
      <c r="K8" s="558" t="s">
        <v>314</v>
      </c>
      <c r="L8" s="558" t="s">
        <v>314</v>
      </c>
      <c r="M8" s="558" t="s">
        <v>314</v>
      </c>
      <c r="N8" s="558" t="s">
        <v>314</v>
      </c>
      <c r="O8" s="360">
        <f>42221.25+6588.59</f>
        <v>48809.84</v>
      </c>
      <c r="P8" s="558" t="s">
        <v>314</v>
      </c>
      <c r="Q8" s="558" t="s">
        <v>314</v>
      </c>
      <c r="R8" s="558" t="s">
        <v>314</v>
      </c>
      <c r="S8" s="360">
        <f>SUM(G8:R8)</f>
        <v>48809.84</v>
      </c>
      <c r="T8" s="361">
        <f t="shared" ca="1" si="0"/>
        <v>-2531</v>
      </c>
      <c r="U8" s="303">
        <v>41851</v>
      </c>
      <c r="V8" s="359" t="s">
        <v>1299</v>
      </c>
      <c r="W8" s="362" t="s">
        <v>1305</v>
      </c>
      <c r="X8" s="305"/>
      <c r="Y8" s="305"/>
      <c r="Z8" s="305"/>
      <c r="AA8" s="305"/>
      <c r="AB8" s="305"/>
      <c r="AC8" s="306"/>
      <c r="AD8" s="307">
        <v>41487</v>
      </c>
      <c r="AE8" s="363">
        <f t="shared" ref="AE8:AE13" ca="1" si="1">TODAY()-DATE(YEAR(AD8)+6,MONTH(AD8),DAY(AD8))</f>
        <v>704</v>
      </c>
      <c r="AF8" s="299" t="s">
        <v>48</v>
      </c>
    </row>
    <row r="9" spans="1:32" s="311" customFormat="1" ht="30" customHeight="1" thickBot="1" x14ac:dyDescent="0.25">
      <c r="A9" s="299" t="s">
        <v>589</v>
      </c>
      <c r="B9" s="299" t="s">
        <v>1353</v>
      </c>
      <c r="C9" s="299" t="s">
        <v>56</v>
      </c>
      <c r="D9" s="301" t="s">
        <v>138</v>
      </c>
      <c r="E9" s="301" t="s">
        <v>591</v>
      </c>
      <c r="F9" s="302" t="s">
        <v>1358</v>
      </c>
      <c r="G9" s="284">
        <f>629.92+687.43</f>
        <v>1317.35</v>
      </c>
      <c r="H9" s="284">
        <v>626.95000000000005</v>
      </c>
      <c r="I9" s="284">
        <v>629.95000000000005</v>
      </c>
      <c r="J9" s="284">
        <v>629.95000000000005</v>
      </c>
      <c r="K9" s="284">
        <v>629.95000000000005</v>
      </c>
      <c r="L9" s="284">
        <v>629.95000000000005</v>
      </c>
      <c r="M9" s="284">
        <v>675.93</v>
      </c>
      <c r="N9" s="284">
        <v>675.93</v>
      </c>
      <c r="O9" s="284">
        <v>675.93</v>
      </c>
      <c r="P9" s="284">
        <v>675.93</v>
      </c>
      <c r="Q9" s="558" t="s">
        <v>314</v>
      </c>
      <c r="R9" s="284">
        <v>675.93</v>
      </c>
      <c r="S9" s="284">
        <f t="shared" ref="S9:S57" si="2">SUM(G9:R9)</f>
        <v>7843.7500000000009</v>
      </c>
      <c r="T9" s="274">
        <f t="shared" ca="1" si="0"/>
        <v>-2584</v>
      </c>
      <c r="U9" s="303">
        <v>41798</v>
      </c>
      <c r="V9" s="304" t="s">
        <v>1359</v>
      </c>
      <c r="W9" s="362" t="s">
        <v>740</v>
      </c>
      <c r="X9" s="305"/>
      <c r="Y9" s="305"/>
      <c r="Z9" s="305"/>
      <c r="AA9" s="305"/>
      <c r="AB9" s="305"/>
      <c r="AC9" s="306"/>
      <c r="AD9" s="307">
        <v>39973</v>
      </c>
      <c r="AE9" s="278">
        <f t="shared" ca="1" si="1"/>
        <v>2218</v>
      </c>
      <c r="AF9" s="299" t="s">
        <v>48</v>
      </c>
    </row>
    <row r="10" spans="1:32" s="311" customFormat="1" ht="30" customHeight="1" thickBot="1" x14ac:dyDescent="0.25">
      <c r="A10" s="299" t="s">
        <v>579</v>
      </c>
      <c r="B10" s="299" t="s">
        <v>1353</v>
      </c>
      <c r="C10" s="299" t="s">
        <v>56</v>
      </c>
      <c r="D10" s="301" t="s">
        <v>580</v>
      </c>
      <c r="E10" s="301" t="s">
        <v>581</v>
      </c>
      <c r="F10" s="302" t="s">
        <v>1361</v>
      </c>
      <c r="G10" s="360">
        <v>189.79</v>
      </c>
      <c r="H10" s="360">
        <v>189.79</v>
      </c>
      <c r="I10" s="360">
        <v>189.79</v>
      </c>
      <c r="J10" s="360">
        <v>189.79</v>
      </c>
      <c r="K10" s="360">
        <v>189.79</v>
      </c>
      <c r="L10" s="360">
        <v>189.79</v>
      </c>
      <c r="M10" s="360">
        <v>203.39</v>
      </c>
      <c r="N10" s="360">
        <v>203.39</v>
      </c>
      <c r="O10" s="360">
        <v>203.39</v>
      </c>
      <c r="P10" s="360">
        <v>203.39</v>
      </c>
      <c r="Q10" s="360">
        <v>203.39</v>
      </c>
      <c r="R10" s="360">
        <v>203.39</v>
      </c>
      <c r="S10" s="360">
        <f t="shared" si="2"/>
        <v>2359.0799999999995</v>
      </c>
      <c r="T10" s="361">
        <f t="shared" ca="1" si="0"/>
        <v>-2578</v>
      </c>
      <c r="U10" s="303">
        <v>41804</v>
      </c>
      <c r="V10" s="359" t="s">
        <v>1362</v>
      </c>
      <c r="W10" s="362" t="s">
        <v>742</v>
      </c>
      <c r="X10" s="305"/>
      <c r="Y10" s="305"/>
      <c r="Z10" s="305"/>
      <c r="AA10" s="305"/>
      <c r="AB10" s="305"/>
      <c r="AC10" s="306"/>
      <c r="AD10" s="307">
        <v>39979</v>
      </c>
      <c r="AE10" s="363">
        <f t="shared" ca="1" si="1"/>
        <v>2212</v>
      </c>
      <c r="AF10" s="299" t="s">
        <v>48</v>
      </c>
    </row>
    <row r="11" spans="1:32" s="311" customFormat="1" ht="39.75" customHeight="1" thickBot="1" x14ac:dyDescent="0.25">
      <c r="A11" s="299" t="s">
        <v>360</v>
      </c>
      <c r="B11" s="299" t="s">
        <v>1353</v>
      </c>
      <c r="C11" s="299" t="s">
        <v>56</v>
      </c>
      <c r="D11" s="301" t="s">
        <v>212</v>
      </c>
      <c r="E11" s="301" t="s">
        <v>361</v>
      </c>
      <c r="F11" s="302">
        <v>7750.92</v>
      </c>
      <c r="G11" s="360">
        <v>586.67999999999995</v>
      </c>
      <c r="H11" s="360">
        <v>586.67999999999995</v>
      </c>
      <c r="I11" s="360">
        <v>586.67999999999995</v>
      </c>
      <c r="J11" s="360">
        <v>586.67999999999995</v>
      </c>
      <c r="K11" s="360">
        <v>586.67999999999995</v>
      </c>
      <c r="L11" s="360">
        <v>586.67999999999995</v>
      </c>
      <c r="M11" s="360">
        <v>645.91</v>
      </c>
      <c r="N11" s="558" t="s">
        <v>314</v>
      </c>
      <c r="O11" s="360">
        <f>645.91+645.91</f>
        <v>1291.82</v>
      </c>
      <c r="P11" s="360">
        <v>645.91</v>
      </c>
      <c r="Q11" s="360">
        <v>645.91</v>
      </c>
      <c r="R11" s="360">
        <v>645.91</v>
      </c>
      <c r="S11" s="360">
        <f t="shared" si="2"/>
        <v>7395.5399999999991</v>
      </c>
      <c r="T11" s="361">
        <f t="shared" ca="1" si="0"/>
        <v>-2574</v>
      </c>
      <c r="U11" s="303">
        <v>41808</v>
      </c>
      <c r="V11" s="359" t="s">
        <v>1255</v>
      </c>
      <c r="W11" s="362" t="s">
        <v>726</v>
      </c>
      <c r="X11" s="305"/>
      <c r="Y11" s="305"/>
      <c r="Z11" s="305"/>
      <c r="AA11" s="305"/>
      <c r="AB11" s="305"/>
      <c r="AC11" s="546">
        <v>41688</v>
      </c>
      <c r="AD11" s="307">
        <v>39617</v>
      </c>
      <c r="AE11" s="363">
        <f t="shared" ca="1" si="1"/>
        <v>2574</v>
      </c>
      <c r="AF11" s="299" t="s">
        <v>48</v>
      </c>
    </row>
    <row r="12" spans="1:32" s="311" customFormat="1" ht="30" customHeight="1" thickBot="1" x14ac:dyDescent="0.25">
      <c r="A12" s="299" t="s">
        <v>356</v>
      </c>
      <c r="B12" s="299" t="s">
        <v>1347</v>
      </c>
      <c r="C12" s="299" t="s">
        <v>56</v>
      </c>
      <c r="D12" s="301" t="s">
        <v>62</v>
      </c>
      <c r="E12" s="301" t="s">
        <v>357</v>
      </c>
      <c r="F12" s="302">
        <v>8004.24</v>
      </c>
      <c r="G12" s="360">
        <v>667.02</v>
      </c>
      <c r="H12" s="563" t="s">
        <v>314</v>
      </c>
      <c r="I12" s="360">
        <v>667.02</v>
      </c>
      <c r="J12" s="544">
        <v>1334.04</v>
      </c>
      <c r="K12" s="563" t="s">
        <v>314</v>
      </c>
      <c r="L12" s="563" t="s">
        <v>314</v>
      </c>
      <c r="M12" s="543">
        <v>2001.06</v>
      </c>
      <c r="N12" s="360">
        <v>667.02</v>
      </c>
      <c r="O12" s="360">
        <v>667.02</v>
      </c>
      <c r="P12" s="360">
        <v>1234.52</v>
      </c>
      <c r="Q12" s="360">
        <v>667.02</v>
      </c>
      <c r="R12" s="360">
        <v>667.02</v>
      </c>
      <c r="S12" s="360">
        <f t="shared" si="2"/>
        <v>8571.7400000000016</v>
      </c>
      <c r="T12" s="361">
        <f t="shared" ca="1" si="0"/>
        <v>-2572</v>
      </c>
      <c r="U12" s="303">
        <v>41810</v>
      </c>
      <c r="V12" s="359" t="s">
        <v>1410</v>
      </c>
      <c r="W12" s="362" t="s">
        <v>743</v>
      </c>
      <c r="X12" s="305"/>
      <c r="Y12" s="305"/>
      <c r="Z12" s="305"/>
      <c r="AA12" s="305"/>
      <c r="AB12" s="305"/>
      <c r="AC12" s="306">
        <v>41688</v>
      </c>
      <c r="AD12" s="307">
        <v>39619</v>
      </c>
      <c r="AE12" s="363">
        <f t="shared" ca="1" si="1"/>
        <v>2572</v>
      </c>
      <c r="AF12" s="299" t="s">
        <v>48</v>
      </c>
    </row>
    <row r="13" spans="1:32" s="311" customFormat="1" ht="39" thickBot="1" x14ac:dyDescent="0.25">
      <c r="A13" s="299" t="s">
        <v>363</v>
      </c>
      <c r="B13" s="300" t="s">
        <v>364</v>
      </c>
      <c r="C13" s="299" t="s">
        <v>37</v>
      </c>
      <c r="D13" s="301" t="s">
        <v>1297</v>
      </c>
      <c r="E13" s="301" t="s">
        <v>366</v>
      </c>
      <c r="F13" s="302">
        <v>28531.68</v>
      </c>
      <c r="G13" s="360">
        <v>2377.64</v>
      </c>
      <c r="H13" s="360">
        <v>2377.64</v>
      </c>
      <c r="I13" s="360">
        <v>2377.64</v>
      </c>
      <c r="J13" s="360">
        <v>0</v>
      </c>
      <c r="K13" s="360">
        <f>2377.64+2377.64</f>
        <v>4755.28</v>
      </c>
      <c r="L13" s="360">
        <v>2377.64</v>
      </c>
      <c r="M13" s="559" t="s">
        <v>314</v>
      </c>
      <c r="N13" s="360">
        <v>2377.64</v>
      </c>
      <c r="O13" s="559" t="s">
        <v>314</v>
      </c>
      <c r="P13" s="559" t="s">
        <v>314</v>
      </c>
      <c r="Q13" s="559" t="s">
        <v>314</v>
      </c>
      <c r="R13" s="559" t="s">
        <v>314</v>
      </c>
      <c r="S13" s="360">
        <f t="shared" si="2"/>
        <v>16643.48</v>
      </c>
      <c r="T13" s="361">
        <f t="shared" ca="1" si="0"/>
        <v>-2903</v>
      </c>
      <c r="U13" s="303">
        <v>41479</v>
      </c>
      <c r="V13" s="359" t="s">
        <v>1112</v>
      </c>
      <c r="W13" s="362" t="s">
        <v>744</v>
      </c>
      <c r="X13" s="305"/>
      <c r="Y13" s="305"/>
      <c r="Z13" s="305"/>
      <c r="AA13" s="305"/>
      <c r="AB13" s="305"/>
      <c r="AC13" s="306">
        <v>41431</v>
      </c>
      <c r="AD13" s="307">
        <v>39288</v>
      </c>
      <c r="AE13" s="363">
        <f t="shared" ca="1" si="1"/>
        <v>2902</v>
      </c>
      <c r="AF13" s="299" t="s">
        <v>96</v>
      </c>
    </row>
    <row r="14" spans="1:32" s="311" customFormat="1" ht="51.75" thickBot="1" x14ac:dyDescent="0.25">
      <c r="A14" s="299" t="s">
        <v>286</v>
      </c>
      <c r="B14" s="300" t="s">
        <v>251</v>
      </c>
      <c r="C14" s="299" t="s">
        <v>37</v>
      </c>
      <c r="D14" s="301" t="s">
        <v>287</v>
      </c>
      <c r="E14" s="301" t="s">
        <v>288</v>
      </c>
      <c r="F14" s="302" t="s">
        <v>921</v>
      </c>
      <c r="G14" s="559" t="s">
        <v>314</v>
      </c>
      <c r="H14" s="559" t="s">
        <v>314</v>
      </c>
      <c r="I14" s="559" t="s">
        <v>314</v>
      </c>
      <c r="J14" s="559" t="s">
        <v>314</v>
      </c>
      <c r="K14" s="559" t="s">
        <v>314</v>
      </c>
      <c r="L14" s="559" t="s">
        <v>314</v>
      </c>
      <c r="M14" s="559" t="s">
        <v>314</v>
      </c>
      <c r="N14" s="559" t="s">
        <v>314</v>
      </c>
      <c r="O14" s="559" t="s">
        <v>314</v>
      </c>
      <c r="P14" s="559" t="s">
        <v>314</v>
      </c>
      <c r="Q14" s="559" t="s">
        <v>314</v>
      </c>
      <c r="R14" s="559" t="s">
        <v>314</v>
      </c>
      <c r="S14" s="360">
        <f t="shared" si="2"/>
        <v>0</v>
      </c>
      <c r="T14" s="361">
        <f t="shared" ca="1" si="0"/>
        <v>-2891</v>
      </c>
      <c r="U14" s="309">
        <v>41491</v>
      </c>
      <c r="V14" s="359" t="s">
        <v>1231</v>
      </c>
      <c r="W14" s="362" t="s">
        <v>723</v>
      </c>
      <c r="X14" s="305"/>
      <c r="Y14" s="305"/>
      <c r="Z14" s="305"/>
      <c r="AA14" s="305"/>
      <c r="AB14" s="305"/>
      <c r="AC14" s="546" t="s">
        <v>1406</v>
      </c>
      <c r="AD14" s="307">
        <v>39300</v>
      </c>
      <c r="AE14" s="363">
        <f t="shared" ref="AE14:AE28" ca="1" si="3">TODAY()-DATE(YEAR(AD14)+6,MONTH(AD14),DAY(AD14))</f>
        <v>2890</v>
      </c>
      <c r="AF14" s="299" t="s">
        <v>649</v>
      </c>
    </row>
    <row r="15" spans="1:32" s="311" customFormat="1" ht="30" customHeight="1" thickBot="1" x14ac:dyDescent="0.25">
      <c r="A15" s="299" t="s">
        <v>1452</v>
      </c>
      <c r="B15" s="300" t="s">
        <v>585</v>
      </c>
      <c r="C15" s="299" t="s">
        <v>613</v>
      </c>
      <c r="D15" s="301" t="s">
        <v>586</v>
      </c>
      <c r="E15" s="301" t="s">
        <v>1252</v>
      </c>
      <c r="F15" s="302">
        <v>1317990.76</v>
      </c>
      <c r="G15" s="360">
        <v>98040.04</v>
      </c>
      <c r="H15" s="360">
        <v>96142.09</v>
      </c>
      <c r="I15" s="360">
        <v>101661.16</v>
      </c>
      <c r="J15" s="360">
        <v>97718.13</v>
      </c>
      <c r="K15" s="360">
        <v>104494.33</v>
      </c>
      <c r="L15" s="360">
        <v>95197.84</v>
      </c>
      <c r="M15" s="360">
        <v>96878.01</v>
      </c>
      <c r="N15" s="360">
        <v>97460.59</v>
      </c>
      <c r="O15" s="360">
        <v>98450.94</v>
      </c>
      <c r="P15" s="360">
        <v>99137.73</v>
      </c>
      <c r="Q15" s="360">
        <f>110611.37+20655.93</f>
        <v>131267.29999999999</v>
      </c>
      <c r="R15" s="360">
        <f>110591.5+48482.77</f>
        <v>159074.26999999999</v>
      </c>
      <c r="S15" s="360">
        <f t="shared" si="2"/>
        <v>1275522.4300000002</v>
      </c>
      <c r="T15" s="361">
        <f t="shared" ca="1" si="0"/>
        <v>-2500</v>
      </c>
      <c r="U15" s="303">
        <v>41882</v>
      </c>
      <c r="V15" s="304" t="s">
        <v>1453</v>
      </c>
      <c r="W15" s="362" t="s">
        <v>733</v>
      </c>
      <c r="X15" s="305"/>
      <c r="Y15" s="305"/>
      <c r="Z15" s="305"/>
      <c r="AA15" s="305"/>
      <c r="AB15" s="305"/>
      <c r="AC15" s="306">
        <v>41722</v>
      </c>
      <c r="AD15" s="307">
        <v>40037</v>
      </c>
      <c r="AE15" s="363">
        <f t="shared" ca="1" si="3"/>
        <v>2154</v>
      </c>
      <c r="AF15" s="299" t="s">
        <v>96</v>
      </c>
    </row>
    <row r="16" spans="1:32" s="311" customFormat="1" ht="26.25" thickBot="1" x14ac:dyDescent="0.25">
      <c r="A16" s="299" t="s">
        <v>412</v>
      </c>
      <c r="B16" s="299" t="s">
        <v>413</v>
      </c>
      <c r="C16" s="299" t="s">
        <v>613</v>
      </c>
      <c r="D16" s="301" t="s">
        <v>414</v>
      </c>
      <c r="E16" s="301" t="s">
        <v>415</v>
      </c>
      <c r="F16" s="302">
        <v>90271.1</v>
      </c>
      <c r="G16" s="559" t="s">
        <v>314</v>
      </c>
      <c r="H16" s="559" t="s">
        <v>314</v>
      </c>
      <c r="I16" s="559" t="s">
        <v>314</v>
      </c>
      <c r="J16" s="559" t="s">
        <v>314</v>
      </c>
      <c r="K16" s="559" t="s">
        <v>314</v>
      </c>
      <c r="L16" s="559" t="s">
        <v>314</v>
      </c>
      <c r="M16" s="559" t="s">
        <v>314</v>
      </c>
      <c r="N16" s="559" t="s">
        <v>314</v>
      </c>
      <c r="O16" s="559" t="s">
        <v>314</v>
      </c>
      <c r="P16" s="559" t="s">
        <v>314</v>
      </c>
      <c r="Q16" s="559" t="s">
        <v>314</v>
      </c>
      <c r="R16" s="559" t="s">
        <v>314</v>
      </c>
      <c r="S16" s="284">
        <f t="shared" si="2"/>
        <v>0</v>
      </c>
      <c r="T16" s="274">
        <f t="shared" ca="1" si="0"/>
        <v>-3241</v>
      </c>
      <c r="U16" s="303">
        <v>41141</v>
      </c>
      <c r="V16" s="304" t="s">
        <v>771</v>
      </c>
      <c r="W16" s="362" t="s">
        <v>756</v>
      </c>
      <c r="X16" s="305"/>
      <c r="Y16" s="305"/>
      <c r="Z16" s="305"/>
      <c r="AA16" s="305"/>
      <c r="AB16" s="305"/>
      <c r="AC16" s="306">
        <v>41578</v>
      </c>
      <c r="AD16" s="307">
        <v>39680</v>
      </c>
      <c r="AE16" s="278">
        <f t="shared" ca="1" si="3"/>
        <v>2511</v>
      </c>
      <c r="AF16" s="299" t="s">
        <v>41</v>
      </c>
    </row>
    <row r="17" spans="1:33" s="311" customFormat="1" ht="26.25" thickBot="1" x14ac:dyDescent="0.25">
      <c r="A17" s="299" t="s">
        <v>488</v>
      </c>
      <c r="B17" s="300" t="s">
        <v>251</v>
      </c>
      <c r="C17" s="299" t="s">
        <v>613</v>
      </c>
      <c r="D17" s="301" t="s">
        <v>44</v>
      </c>
      <c r="E17" s="301" t="s">
        <v>1169</v>
      </c>
      <c r="F17" s="302">
        <v>136803.69</v>
      </c>
      <c r="G17" s="559" t="s">
        <v>314</v>
      </c>
      <c r="H17" s="284">
        <v>14916.36</v>
      </c>
      <c r="I17" s="284">
        <v>14916.36</v>
      </c>
      <c r="J17" s="284">
        <v>14993.46</v>
      </c>
      <c r="K17" s="284">
        <v>23087.48</v>
      </c>
      <c r="L17" s="284">
        <v>16959.14</v>
      </c>
      <c r="M17" s="284">
        <v>16959.14</v>
      </c>
      <c r="N17" s="360">
        <v>16959.14</v>
      </c>
      <c r="O17" s="360">
        <v>16959.14</v>
      </c>
      <c r="P17" s="284">
        <v>1130.6099999999999</v>
      </c>
      <c r="Q17" s="559" t="s">
        <v>314</v>
      </c>
      <c r="R17" s="559" t="s">
        <v>314</v>
      </c>
      <c r="S17" s="284">
        <f t="shared" si="2"/>
        <v>136880.82999999999</v>
      </c>
      <c r="T17" s="274">
        <f t="shared" ca="1" si="0"/>
        <v>-2863</v>
      </c>
      <c r="U17" s="303">
        <v>41519</v>
      </c>
      <c r="V17" s="304" t="s">
        <v>1352</v>
      </c>
      <c r="W17" s="362" t="s">
        <v>746</v>
      </c>
      <c r="X17" s="305"/>
      <c r="Y17" s="305"/>
      <c r="Z17" s="305"/>
      <c r="AA17" s="305"/>
      <c r="AB17" s="305"/>
      <c r="AC17" s="306" t="s">
        <v>945</v>
      </c>
      <c r="AD17" s="307">
        <v>39328</v>
      </c>
      <c r="AE17" s="278">
        <f t="shared" ca="1" si="3"/>
        <v>2862</v>
      </c>
      <c r="AF17" s="299" t="s">
        <v>48</v>
      </c>
      <c r="AG17" s="311" t="s">
        <v>1400</v>
      </c>
    </row>
    <row r="18" spans="1:33" s="311" customFormat="1" ht="26.25" thickBot="1" x14ac:dyDescent="0.25">
      <c r="A18" s="299" t="s">
        <v>259</v>
      </c>
      <c r="B18" s="299" t="s">
        <v>23</v>
      </c>
      <c r="C18" s="299" t="s">
        <v>24</v>
      </c>
      <c r="D18" s="301" t="s">
        <v>260</v>
      </c>
      <c r="E18" s="301" t="s">
        <v>656</v>
      </c>
      <c r="F18" s="302" t="s">
        <v>842</v>
      </c>
      <c r="G18" s="284"/>
      <c r="H18" s="284"/>
      <c r="I18" s="284"/>
      <c r="J18" s="284"/>
      <c r="K18" s="284"/>
      <c r="L18" s="284"/>
      <c r="M18" s="284"/>
      <c r="N18" s="284"/>
      <c r="O18" s="284"/>
      <c r="P18" s="284"/>
      <c r="Q18" s="284"/>
      <c r="R18" s="284"/>
      <c r="S18" s="284">
        <f t="shared" si="2"/>
        <v>0</v>
      </c>
      <c r="T18" s="274">
        <f t="shared" ca="1" si="0"/>
        <v>-3200</v>
      </c>
      <c r="U18" s="309">
        <v>41182</v>
      </c>
      <c r="V18" s="304" t="s">
        <v>949</v>
      </c>
      <c r="W18" s="310" t="s">
        <v>841</v>
      </c>
      <c r="X18" s="305"/>
      <c r="Y18" s="305"/>
      <c r="Z18" s="305"/>
      <c r="AA18" s="305"/>
      <c r="AB18" s="305"/>
      <c r="AC18" s="306" t="s">
        <v>945</v>
      </c>
      <c r="AD18" s="307">
        <v>39356</v>
      </c>
      <c r="AE18" s="278">
        <f t="shared" ca="1" si="3"/>
        <v>2834</v>
      </c>
      <c r="AF18" s="299" t="s">
        <v>34</v>
      </c>
      <c r="AG18" s="311" t="s">
        <v>1401</v>
      </c>
    </row>
    <row r="19" spans="1:33" s="311" customFormat="1" ht="39" thickBot="1" x14ac:dyDescent="0.25">
      <c r="A19" s="299" t="s">
        <v>616</v>
      </c>
      <c r="B19" s="299" t="s">
        <v>600</v>
      </c>
      <c r="C19" s="299" t="s">
        <v>617</v>
      </c>
      <c r="D19" s="301" t="s">
        <v>618</v>
      </c>
      <c r="E19" s="301" t="s">
        <v>654</v>
      </c>
      <c r="F19" s="302" t="s">
        <v>655</v>
      </c>
      <c r="G19" s="360">
        <v>1664.51</v>
      </c>
      <c r="H19" s="360">
        <v>1662.85</v>
      </c>
      <c r="I19" s="360">
        <v>1669.61</v>
      </c>
      <c r="J19" s="360">
        <v>1650.03</v>
      </c>
      <c r="K19" s="360">
        <v>1679.78</v>
      </c>
      <c r="L19" s="360">
        <v>2462.71</v>
      </c>
      <c r="M19" s="360">
        <v>1888.53</v>
      </c>
      <c r="N19" s="360">
        <v>2375.89</v>
      </c>
      <c r="O19" s="559" t="s">
        <v>314</v>
      </c>
      <c r="P19" s="360">
        <f>2798.1+2582.43</f>
        <v>5380.53</v>
      </c>
      <c r="Q19" s="360">
        <v>2089.65</v>
      </c>
      <c r="R19" s="360">
        <v>2113.56</v>
      </c>
      <c r="S19" s="360">
        <f t="shared" si="2"/>
        <v>24637.65</v>
      </c>
      <c r="T19" s="361">
        <f t="shared" ca="1" si="0"/>
        <v>-2826</v>
      </c>
      <c r="U19" s="309">
        <v>41556</v>
      </c>
      <c r="V19" s="359" t="s">
        <v>1133</v>
      </c>
      <c r="W19" s="362" t="s">
        <v>748</v>
      </c>
      <c r="X19" s="305"/>
      <c r="Y19" s="305"/>
      <c r="Z19" s="305"/>
      <c r="AA19" s="305"/>
      <c r="AB19" s="305"/>
      <c r="AC19" s="306">
        <v>41512</v>
      </c>
      <c r="AD19" s="307">
        <v>40095</v>
      </c>
      <c r="AE19" s="363">
        <f t="shared" ca="1" si="3"/>
        <v>2096</v>
      </c>
      <c r="AF19" s="299" t="s">
        <v>48</v>
      </c>
    </row>
    <row r="20" spans="1:33" s="311" customFormat="1" ht="26.25" thickBot="1" x14ac:dyDescent="0.25">
      <c r="A20" s="299" t="s">
        <v>711</v>
      </c>
      <c r="B20" s="299" t="s">
        <v>23</v>
      </c>
      <c r="C20" s="299" t="s">
        <v>61</v>
      </c>
      <c r="D20" s="301" t="s">
        <v>98</v>
      </c>
      <c r="E20" s="301" t="s">
        <v>712</v>
      </c>
      <c r="F20" s="302" t="s">
        <v>713</v>
      </c>
      <c r="G20" s="360">
        <v>46.5</v>
      </c>
      <c r="H20" s="360">
        <v>127.5</v>
      </c>
      <c r="I20" s="360">
        <v>494.5</v>
      </c>
      <c r="J20" s="360">
        <v>505.75</v>
      </c>
      <c r="K20" s="360">
        <v>431.8</v>
      </c>
      <c r="L20" s="360">
        <v>374.9</v>
      </c>
      <c r="M20" s="360">
        <v>64</v>
      </c>
      <c r="N20" s="543">
        <v>634.75</v>
      </c>
      <c r="O20" s="360">
        <v>296.5</v>
      </c>
      <c r="P20" s="559" t="s">
        <v>314</v>
      </c>
      <c r="Q20" s="360">
        <v>396.1</v>
      </c>
      <c r="R20" s="559" t="s">
        <v>314</v>
      </c>
      <c r="S20" s="360">
        <f t="shared" si="2"/>
        <v>3372.2999999999997</v>
      </c>
      <c r="T20" s="361">
        <f t="shared" ca="1" si="0"/>
        <v>-2448</v>
      </c>
      <c r="U20" s="303">
        <v>41934</v>
      </c>
      <c r="V20" s="304" t="s">
        <v>1422</v>
      </c>
      <c r="W20" s="362" t="s">
        <v>749</v>
      </c>
      <c r="X20" s="305"/>
      <c r="Y20" s="305"/>
      <c r="Z20" s="305"/>
      <c r="AA20" s="305"/>
      <c r="AB20" s="305"/>
      <c r="AC20" s="306"/>
      <c r="AD20" s="307">
        <v>40473</v>
      </c>
      <c r="AE20" s="363">
        <f t="shared" ca="1" si="3"/>
        <v>1717</v>
      </c>
      <c r="AF20" s="299" t="s">
        <v>48</v>
      </c>
    </row>
    <row r="21" spans="1:33" s="311" customFormat="1" ht="51.75" thickBot="1" x14ac:dyDescent="0.25">
      <c r="A21" s="299" t="s">
        <v>786</v>
      </c>
      <c r="B21" s="300" t="s">
        <v>23</v>
      </c>
      <c r="C21" s="299" t="s">
        <v>372</v>
      </c>
      <c r="D21" s="301" t="s">
        <v>787</v>
      </c>
      <c r="E21" s="301" t="s">
        <v>791</v>
      </c>
      <c r="F21" s="302" t="s">
        <v>375</v>
      </c>
      <c r="G21" s="559" t="s">
        <v>314</v>
      </c>
      <c r="H21" s="559" t="s">
        <v>314</v>
      </c>
      <c r="I21" s="559" t="s">
        <v>314</v>
      </c>
      <c r="J21" s="559" t="s">
        <v>314</v>
      </c>
      <c r="K21" s="559" t="s">
        <v>314</v>
      </c>
      <c r="L21" s="559" t="s">
        <v>314</v>
      </c>
      <c r="M21" s="559" t="s">
        <v>314</v>
      </c>
      <c r="N21" s="559" t="s">
        <v>314</v>
      </c>
      <c r="O21" s="559" t="s">
        <v>314</v>
      </c>
      <c r="P21" s="559" t="s">
        <v>314</v>
      </c>
      <c r="Q21" s="559" t="s">
        <v>314</v>
      </c>
      <c r="R21" s="559" t="s">
        <v>314</v>
      </c>
      <c r="S21" s="360">
        <f t="shared" si="2"/>
        <v>0</v>
      </c>
      <c r="T21" s="361">
        <f t="shared" ca="1" si="0"/>
        <v>-3154</v>
      </c>
      <c r="U21" s="309">
        <v>41228</v>
      </c>
      <c r="V21" s="359" t="s">
        <v>788</v>
      </c>
      <c r="W21" s="310" t="s">
        <v>838</v>
      </c>
      <c r="X21" s="305"/>
      <c r="Y21" s="305"/>
      <c r="Z21" s="305"/>
      <c r="AA21" s="305"/>
      <c r="AB21" s="305"/>
      <c r="AC21" s="306" t="s">
        <v>945</v>
      </c>
      <c r="AD21" s="307">
        <v>40498</v>
      </c>
      <c r="AE21" s="363">
        <f t="shared" ca="1" si="3"/>
        <v>1692</v>
      </c>
      <c r="AF21" s="299" t="s">
        <v>96</v>
      </c>
      <c r="AG21" s="311" t="s">
        <v>1403</v>
      </c>
    </row>
    <row r="22" spans="1:33" s="311" customFormat="1" ht="39" thickBot="1" x14ac:dyDescent="0.25">
      <c r="A22" s="299" t="s">
        <v>628</v>
      </c>
      <c r="B22" s="299" t="s">
        <v>585</v>
      </c>
      <c r="C22" s="299" t="s">
        <v>617</v>
      </c>
      <c r="D22" s="312" t="s">
        <v>44</v>
      </c>
      <c r="E22" s="337" t="s">
        <v>1179</v>
      </c>
      <c r="F22" s="313">
        <v>44681.88</v>
      </c>
      <c r="G22" s="544">
        <v>3340.29</v>
      </c>
      <c r="H22" s="314">
        <v>3340.29</v>
      </c>
      <c r="I22" s="544">
        <v>3899.13</v>
      </c>
      <c r="J22" s="314">
        <v>3526.57</v>
      </c>
      <c r="K22" s="314">
        <v>3526.57</v>
      </c>
      <c r="L22" s="544">
        <v>3526.57</v>
      </c>
      <c r="M22" s="314">
        <v>3526.57</v>
      </c>
      <c r="N22" s="543">
        <v>3526.57</v>
      </c>
      <c r="O22" s="314">
        <v>3526.57</v>
      </c>
      <c r="P22" s="314">
        <v>3526.57</v>
      </c>
      <c r="Q22" s="284">
        <v>3526.57</v>
      </c>
      <c r="R22" s="284">
        <v>3526.57</v>
      </c>
      <c r="S22" s="284">
        <f t="shared" si="2"/>
        <v>42318.84</v>
      </c>
      <c r="T22" s="274">
        <f t="shared" ca="1" si="0"/>
        <v>-2409</v>
      </c>
      <c r="U22" s="303">
        <v>41973</v>
      </c>
      <c r="V22" s="326" t="s">
        <v>1451</v>
      </c>
      <c r="W22" s="362" t="s">
        <v>746</v>
      </c>
      <c r="X22" s="305"/>
      <c r="Y22" s="305"/>
      <c r="Z22" s="305"/>
      <c r="AA22" s="305"/>
      <c r="AB22" s="305"/>
      <c r="AC22" s="303"/>
      <c r="AD22" s="316">
        <v>40147</v>
      </c>
      <c r="AE22" s="278">
        <f t="shared" ca="1" si="3"/>
        <v>2044</v>
      </c>
      <c r="AF22" s="299" t="s">
        <v>48</v>
      </c>
    </row>
    <row r="23" spans="1:33" s="311" customFormat="1" ht="30" customHeight="1" thickBot="1" x14ac:dyDescent="0.25">
      <c r="A23" s="299" t="s">
        <v>164</v>
      </c>
      <c r="B23" s="300" t="s">
        <v>165</v>
      </c>
      <c r="C23" s="299" t="s">
        <v>37</v>
      </c>
      <c r="D23" s="301" t="s">
        <v>303</v>
      </c>
      <c r="E23" s="301" t="s">
        <v>167</v>
      </c>
      <c r="F23" s="302">
        <v>35559.599999999999</v>
      </c>
      <c r="G23" s="360">
        <v>2784.72</v>
      </c>
      <c r="H23" s="360">
        <v>2784.72</v>
      </c>
      <c r="I23" s="360">
        <v>2784.72</v>
      </c>
      <c r="J23" s="360">
        <v>2784.72</v>
      </c>
      <c r="K23" s="360">
        <v>2784.72</v>
      </c>
      <c r="L23" s="360">
        <v>2784.72</v>
      </c>
      <c r="M23" s="360">
        <v>2784.72</v>
      </c>
      <c r="N23" s="360">
        <v>2784.72</v>
      </c>
      <c r="O23" s="360">
        <v>2784.72</v>
      </c>
      <c r="P23" s="360">
        <v>2784.72</v>
      </c>
      <c r="Q23" s="360">
        <v>2784.72</v>
      </c>
      <c r="R23" s="360">
        <v>2784.72</v>
      </c>
      <c r="S23" s="360">
        <f t="shared" si="2"/>
        <v>33416.640000000007</v>
      </c>
      <c r="T23" s="361">
        <f t="shared" ca="1" si="0"/>
        <v>-3113</v>
      </c>
      <c r="U23" s="309">
        <v>41269</v>
      </c>
      <c r="V23" s="359" t="s">
        <v>1013</v>
      </c>
      <c r="W23" s="362" t="s">
        <v>727</v>
      </c>
      <c r="X23" s="305"/>
      <c r="Y23" s="305"/>
      <c r="Z23" s="305"/>
      <c r="AA23" s="305"/>
      <c r="AB23" s="305"/>
      <c r="AC23" s="306">
        <v>41578</v>
      </c>
      <c r="AD23" s="307">
        <v>39080</v>
      </c>
      <c r="AE23" s="363">
        <f t="shared" ca="1" si="3"/>
        <v>3110</v>
      </c>
      <c r="AF23" s="299" t="s">
        <v>169</v>
      </c>
    </row>
    <row r="24" spans="1:33" s="311" customFormat="1" ht="30" customHeight="1" thickBot="1" x14ac:dyDescent="0.25">
      <c r="A24" s="299" t="s">
        <v>993</v>
      </c>
      <c r="B24" s="299" t="s">
        <v>23</v>
      </c>
      <c r="C24" s="299" t="s">
        <v>1402</v>
      </c>
      <c r="D24" s="301" t="s">
        <v>83</v>
      </c>
      <c r="E24" s="301" t="s">
        <v>994</v>
      </c>
      <c r="F24" s="302" t="s">
        <v>769</v>
      </c>
      <c r="G24" s="545">
        <v>404.2</v>
      </c>
      <c r="H24" s="559" t="s">
        <v>314</v>
      </c>
      <c r="I24" s="559" t="s">
        <v>314</v>
      </c>
      <c r="J24" s="559" t="s">
        <v>314</v>
      </c>
      <c r="K24" s="559" t="s">
        <v>314</v>
      </c>
      <c r="L24" s="559" t="s">
        <v>314</v>
      </c>
      <c r="M24" s="559" t="s">
        <v>314</v>
      </c>
      <c r="N24" s="559" t="s">
        <v>314</v>
      </c>
      <c r="O24" s="559" t="s">
        <v>314</v>
      </c>
      <c r="P24" s="559" t="s">
        <v>314</v>
      </c>
      <c r="Q24" s="559" t="s">
        <v>314</v>
      </c>
      <c r="R24" s="559" t="s">
        <v>314</v>
      </c>
      <c r="S24" s="284">
        <f t="shared" si="2"/>
        <v>404.2</v>
      </c>
      <c r="T24" s="274">
        <f t="shared" ca="1" si="0"/>
        <v>-3105</v>
      </c>
      <c r="U24" s="303">
        <v>41277</v>
      </c>
      <c r="V24" s="304" t="s">
        <v>1015</v>
      </c>
      <c r="W24" s="362" t="s">
        <v>730</v>
      </c>
      <c r="X24" s="305"/>
      <c r="Y24" s="305"/>
      <c r="Z24" s="305"/>
      <c r="AA24" s="305"/>
      <c r="AB24" s="305"/>
      <c r="AC24" s="306" t="s">
        <v>945</v>
      </c>
      <c r="AD24" s="307">
        <v>39480</v>
      </c>
      <c r="AE24" s="278">
        <f t="shared" ca="1" si="3"/>
        <v>2710</v>
      </c>
      <c r="AF24" s="299" t="s">
        <v>48</v>
      </c>
      <c r="AG24" s="311" t="s">
        <v>1405</v>
      </c>
    </row>
    <row r="25" spans="1:33" s="311" customFormat="1" ht="51.75" thickBot="1" x14ac:dyDescent="0.25">
      <c r="A25" s="299" t="s">
        <v>658</v>
      </c>
      <c r="B25" s="299" t="s">
        <v>1345</v>
      </c>
      <c r="C25" s="299" t="s">
        <v>56</v>
      </c>
      <c r="D25" s="301" t="s">
        <v>171</v>
      </c>
      <c r="E25" s="301" t="s">
        <v>1473</v>
      </c>
      <c r="F25" s="302" t="s">
        <v>659</v>
      </c>
      <c r="G25" s="284">
        <v>4779.07</v>
      </c>
      <c r="H25" s="284">
        <v>2936.21</v>
      </c>
      <c r="I25" s="284">
        <v>2641.98</v>
      </c>
      <c r="J25" s="284">
        <v>3052.83</v>
      </c>
      <c r="K25" s="284">
        <v>3103.97</v>
      </c>
      <c r="L25" s="284">
        <v>2947.07</v>
      </c>
      <c r="M25" s="284">
        <v>2959.2</v>
      </c>
      <c r="N25" s="284">
        <v>3181.64</v>
      </c>
      <c r="O25" s="284">
        <v>2881.21</v>
      </c>
      <c r="P25" s="284">
        <v>3697.2</v>
      </c>
      <c r="Q25" s="360">
        <v>2091.4299999999998</v>
      </c>
      <c r="R25" s="360">
        <v>848.72</v>
      </c>
      <c r="S25" s="360">
        <f t="shared" si="2"/>
        <v>35120.53</v>
      </c>
      <c r="T25" s="361">
        <f t="shared" ca="1" si="0"/>
        <v>-2739</v>
      </c>
      <c r="U25" s="303">
        <v>41643</v>
      </c>
      <c r="V25" s="359" t="s">
        <v>1208</v>
      </c>
      <c r="W25" s="362" t="s">
        <v>753</v>
      </c>
      <c r="X25" s="305"/>
      <c r="Y25" s="305"/>
      <c r="Z25" s="305"/>
      <c r="AA25" s="305"/>
      <c r="AB25" s="305"/>
      <c r="AC25" s="555" t="s">
        <v>1409</v>
      </c>
      <c r="AD25" s="307">
        <v>40182</v>
      </c>
      <c r="AE25" s="363">
        <f t="shared" ca="1" si="3"/>
        <v>2009</v>
      </c>
      <c r="AF25" s="299" t="s">
        <v>54</v>
      </c>
    </row>
    <row r="26" spans="1:33" s="311" customFormat="1" ht="30" customHeight="1" thickBot="1" x14ac:dyDescent="0.25">
      <c r="A26" s="299" t="s">
        <v>599</v>
      </c>
      <c r="B26" s="299" t="s">
        <v>600</v>
      </c>
      <c r="C26" s="299" t="s">
        <v>613</v>
      </c>
      <c r="D26" s="301" t="s">
        <v>1054</v>
      </c>
      <c r="E26" s="301" t="s">
        <v>696</v>
      </c>
      <c r="F26" s="302">
        <v>384683.91</v>
      </c>
      <c r="G26" s="360">
        <v>28446.65</v>
      </c>
      <c r="H26" s="360">
        <v>28342.7</v>
      </c>
      <c r="I26" s="360">
        <v>28342.7</v>
      </c>
      <c r="J26" s="360">
        <v>28342.7</v>
      </c>
      <c r="K26" s="360">
        <v>28342.7</v>
      </c>
      <c r="L26" s="360">
        <v>28342.7</v>
      </c>
      <c r="M26" s="360">
        <f>31905.47+17690.54</f>
        <v>49596.01</v>
      </c>
      <c r="N26" s="360">
        <v>31905.47</v>
      </c>
      <c r="O26" s="360">
        <v>31905.47</v>
      </c>
      <c r="P26" s="360">
        <v>31905.47</v>
      </c>
      <c r="Q26" s="360">
        <v>31905.47</v>
      </c>
      <c r="R26" s="360">
        <v>31905.47</v>
      </c>
      <c r="S26" s="360">
        <f t="shared" si="2"/>
        <v>379283.51</v>
      </c>
      <c r="T26" s="361">
        <f t="shared" ca="1" si="0"/>
        <v>-2702</v>
      </c>
      <c r="U26" s="303">
        <v>41680</v>
      </c>
      <c r="V26" s="359" t="s">
        <v>1373</v>
      </c>
      <c r="W26" s="362" t="s">
        <v>732</v>
      </c>
      <c r="X26" s="305"/>
      <c r="Y26" s="305"/>
      <c r="Z26" s="305"/>
      <c r="AA26" s="305"/>
      <c r="AB26" s="305"/>
      <c r="AC26" s="307">
        <v>41621</v>
      </c>
      <c r="AD26" s="307">
        <v>40036</v>
      </c>
      <c r="AE26" s="363">
        <f t="shared" ca="1" si="3"/>
        <v>2155</v>
      </c>
      <c r="AF26" s="299" t="s">
        <v>48</v>
      </c>
    </row>
    <row r="27" spans="1:33" s="311" customFormat="1" ht="30" customHeight="1" thickBot="1" x14ac:dyDescent="0.25">
      <c r="A27" s="299" t="s">
        <v>193</v>
      </c>
      <c r="B27" s="299" t="s">
        <v>23</v>
      </c>
      <c r="C27" s="299" t="s">
        <v>56</v>
      </c>
      <c r="D27" s="301" t="s">
        <v>194</v>
      </c>
      <c r="E27" s="301" t="s">
        <v>195</v>
      </c>
      <c r="F27" s="302">
        <v>15600</v>
      </c>
      <c r="G27" s="284">
        <f>1020+1300</f>
        <v>2320</v>
      </c>
      <c r="H27" s="284">
        <f>1300+980</f>
        <v>2280</v>
      </c>
      <c r="I27" s="284">
        <v>4330</v>
      </c>
      <c r="J27" s="284">
        <f>1300+2400+3970</f>
        <v>7670</v>
      </c>
      <c r="K27" s="284">
        <v>3640</v>
      </c>
      <c r="L27" s="559" t="s">
        <v>314</v>
      </c>
      <c r="M27" s="284">
        <f>1300+1389</f>
        <v>2689</v>
      </c>
      <c r="N27" s="559" t="s">
        <v>314</v>
      </c>
      <c r="O27" s="559" t="s">
        <v>314</v>
      </c>
      <c r="P27" s="559" t="s">
        <v>314</v>
      </c>
      <c r="Q27" s="284">
        <v>1300</v>
      </c>
      <c r="R27" s="559" t="s">
        <v>314</v>
      </c>
      <c r="S27" s="284">
        <f t="shared" si="2"/>
        <v>24229</v>
      </c>
      <c r="T27" s="274">
        <f t="shared" ca="1" si="0"/>
        <v>-3065</v>
      </c>
      <c r="U27" s="303">
        <v>41317</v>
      </c>
      <c r="V27" s="304" t="s">
        <v>954</v>
      </c>
      <c r="W27" s="315" t="s">
        <v>734</v>
      </c>
      <c r="X27" s="305"/>
      <c r="Y27" s="305"/>
      <c r="Z27" s="305"/>
      <c r="AA27" s="305"/>
      <c r="AB27" s="305"/>
      <c r="AC27" s="306" t="s">
        <v>945</v>
      </c>
      <c r="AD27" s="307">
        <v>39125</v>
      </c>
      <c r="AE27" s="278">
        <f t="shared" ca="1" si="3"/>
        <v>3065</v>
      </c>
      <c r="AF27" s="299" t="s">
        <v>48</v>
      </c>
    </row>
    <row r="28" spans="1:33" s="311" customFormat="1" ht="51.75" thickBot="1" x14ac:dyDescent="0.25">
      <c r="A28" s="326" t="s">
        <v>955</v>
      </c>
      <c r="B28" s="299" t="s">
        <v>773</v>
      </c>
      <c r="C28" s="299" t="s">
        <v>772</v>
      </c>
      <c r="D28" s="349" t="s">
        <v>956</v>
      </c>
      <c r="E28" s="349" t="s">
        <v>957</v>
      </c>
      <c r="F28" s="302">
        <v>160870.56</v>
      </c>
      <c r="G28" s="284">
        <v>7232.19</v>
      </c>
      <c r="H28" s="284">
        <v>8609.9699999999993</v>
      </c>
      <c r="I28" s="284">
        <v>7092.19</v>
      </c>
      <c r="J28" s="284">
        <v>8795.07</v>
      </c>
      <c r="K28" s="284">
        <v>10855.26</v>
      </c>
      <c r="L28" s="284">
        <v>8559.51</v>
      </c>
      <c r="M28" s="284">
        <v>9417.56</v>
      </c>
      <c r="N28" s="284">
        <v>9692.89</v>
      </c>
      <c r="O28" s="284">
        <v>11198.8</v>
      </c>
      <c r="P28" s="284">
        <v>11814.01</v>
      </c>
      <c r="Q28" s="284">
        <v>10810.15</v>
      </c>
      <c r="R28" s="284">
        <v>9896.19</v>
      </c>
      <c r="S28" s="284">
        <f t="shared" si="2"/>
        <v>113973.79</v>
      </c>
      <c r="T28" s="274">
        <f t="shared" ca="1" si="0"/>
        <v>-2700</v>
      </c>
      <c r="U28" s="357">
        <v>41682</v>
      </c>
      <c r="V28" s="472" t="s">
        <v>1350</v>
      </c>
      <c r="W28" s="310" t="s">
        <v>1087</v>
      </c>
      <c r="X28" s="305"/>
      <c r="Y28" s="305"/>
      <c r="Z28" s="305"/>
      <c r="AA28" s="305"/>
      <c r="AB28" s="305"/>
      <c r="AC28" s="555" t="s">
        <v>1408</v>
      </c>
      <c r="AD28" s="307">
        <v>40952</v>
      </c>
      <c r="AE28" s="278">
        <f t="shared" ca="1" si="3"/>
        <v>1238</v>
      </c>
      <c r="AF28" s="326" t="s">
        <v>48</v>
      </c>
    </row>
    <row r="29" spans="1:33" s="311" customFormat="1" ht="30" customHeight="1" thickBot="1" x14ac:dyDescent="0.25">
      <c r="A29" s="299" t="s">
        <v>688</v>
      </c>
      <c r="B29" s="299" t="s">
        <v>689</v>
      </c>
      <c r="C29" s="299" t="s">
        <v>613</v>
      </c>
      <c r="D29" s="301" t="s">
        <v>690</v>
      </c>
      <c r="E29" s="301" t="s">
        <v>691</v>
      </c>
      <c r="F29" s="302">
        <v>24600</v>
      </c>
      <c r="G29" s="559" t="s">
        <v>314</v>
      </c>
      <c r="H29" s="559" t="s">
        <v>314</v>
      </c>
      <c r="I29" s="559" t="s">
        <v>314</v>
      </c>
      <c r="J29" s="559" t="s">
        <v>314</v>
      </c>
      <c r="K29" s="559" t="s">
        <v>314</v>
      </c>
      <c r="L29" s="559" t="s">
        <v>314</v>
      </c>
      <c r="M29" s="559" t="s">
        <v>314</v>
      </c>
      <c r="N29" s="559" t="s">
        <v>314</v>
      </c>
      <c r="O29" s="559" t="s">
        <v>314</v>
      </c>
      <c r="P29" s="559" t="s">
        <v>314</v>
      </c>
      <c r="Q29" s="559" t="s">
        <v>314</v>
      </c>
      <c r="R29" s="559" t="s">
        <v>314</v>
      </c>
      <c r="S29" s="284">
        <f t="shared" si="2"/>
        <v>0</v>
      </c>
      <c r="T29" s="274">
        <f t="shared" ca="1" si="0"/>
        <v>-3060</v>
      </c>
      <c r="U29" s="303">
        <v>41322</v>
      </c>
      <c r="V29" s="304" t="s">
        <v>692</v>
      </c>
      <c r="W29" s="315" t="s">
        <v>758</v>
      </c>
      <c r="X29" s="305"/>
      <c r="Y29" s="305"/>
      <c r="Z29" s="305"/>
      <c r="AA29" s="305"/>
      <c r="AB29" s="305"/>
      <c r="AC29" s="306">
        <v>41578</v>
      </c>
      <c r="AD29" s="307">
        <v>40227</v>
      </c>
      <c r="AE29" s="278">
        <f ca="1">TODAY()-DATE(YEAR(AD29)+6,MONTH(AD29),DAY(AD29))</f>
        <v>1964</v>
      </c>
      <c r="AF29" s="299" t="s">
        <v>41</v>
      </c>
    </row>
    <row r="30" spans="1:33" s="311" customFormat="1" ht="51.75" thickBot="1" x14ac:dyDescent="0.25">
      <c r="A30" s="326" t="s">
        <v>960</v>
      </c>
      <c r="B30" s="299" t="s">
        <v>1330</v>
      </c>
      <c r="C30" s="299" t="s">
        <v>24</v>
      </c>
      <c r="D30" s="349" t="s">
        <v>961</v>
      </c>
      <c r="E30" s="349" t="s">
        <v>962</v>
      </c>
      <c r="F30" s="302" t="s">
        <v>1502</v>
      </c>
      <c r="G30" s="360">
        <v>6285.6</v>
      </c>
      <c r="H30" s="360">
        <v>7473.6</v>
      </c>
      <c r="I30" s="360">
        <v>8823.6</v>
      </c>
      <c r="J30" s="360">
        <v>7970.4</v>
      </c>
      <c r="K30" s="360">
        <v>8712</v>
      </c>
      <c r="L30" s="360">
        <v>7381.8</v>
      </c>
      <c r="M30" s="360">
        <v>8267.4</v>
      </c>
      <c r="N30" s="360">
        <v>8456.4</v>
      </c>
      <c r="O30" s="360">
        <v>9498.6</v>
      </c>
      <c r="P30" s="360">
        <v>9363.6</v>
      </c>
      <c r="Q30" s="360">
        <v>9655.2000000000007</v>
      </c>
      <c r="R30" s="360">
        <v>10335.6</v>
      </c>
      <c r="S30" s="360">
        <f t="shared" si="2"/>
        <v>102223.80000000002</v>
      </c>
      <c r="T30" s="361">
        <f t="shared" ca="1" si="0"/>
        <v>-2689</v>
      </c>
      <c r="U30" s="303">
        <v>41693</v>
      </c>
      <c r="V30" s="351" t="s">
        <v>1212</v>
      </c>
      <c r="W30" s="310" t="s">
        <v>977</v>
      </c>
      <c r="X30" s="305"/>
      <c r="Y30" s="305"/>
      <c r="Z30" s="305"/>
      <c r="AA30" s="305"/>
      <c r="AB30" s="305"/>
      <c r="AC30" s="306">
        <v>41667</v>
      </c>
      <c r="AD30" s="307">
        <v>40963</v>
      </c>
      <c r="AE30" s="363">
        <f ca="1">TODAY()-DATE(YEAR(AD30)+6,MONTH(AD30),DAY(AD30))</f>
        <v>1227</v>
      </c>
      <c r="AF30" s="326" t="s">
        <v>96</v>
      </c>
    </row>
    <row r="31" spans="1:33" s="311" customFormat="1" ht="30" customHeight="1" thickBot="1" x14ac:dyDescent="0.25">
      <c r="A31" s="299" t="s">
        <v>801</v>
      </c>
      <c r="B31" s="299" t="s">
        <v>1347</v>
      </c>
      <c r="C31" s="299" t="s">
        <v>61</v>
      </c>
      <c r="D31" s="301" t="s">
        <v>176</v>
      </c>
      <c r="E31" s="301" t="s">
        <v>310</v>
      </c>
      <c r="F31" s="302" t="s">
        <v>802</v>
      </c>
      <c r="G31" s="559" t="s">
        <v>314</v>
      </c>
      <c r="H31" s="559" t="s">
        <v>314</v>
      </c>
      <c r="I31" s="559" t="s">
        <v>314</v>
      </c>
      <c r="J31" s="559" t="s">
        <v>314</v>
      </c>
      <c r="K31" s="559" t="s">
        <v>314</v>
      </c>
      <c r="L31" s="559" t="s">
        <v>314</v>
      </c>
      <c r="M31" s="559" t="s">
        <v>314</v>
      </c>
      <c r="N31" s="559" t="s">
        <v>314</v>
      </c>
      <c r="O31" s="559" t="s">
        <v>314</v>
      </c>
      <c r="P31" s="559" t="s">
        <v>314</v>
      </c>
      <c r="Q31" s="360"/>
      <c r="R31" s="360"/>
      <c r="S31" s="360">
        <f t="shared" si="2"/>
        <v>0</v>
      </c>
      <c r="T31" s="361">
        <f t="shared" ca="1" si="0"/>
        <v>-3053</v>
      </c>
      <c r="U31" s="303">
        <v>41329</v>
      </c>
      <c r="V31" s="359" t="s">
        <v>975</v>
      </c>
      <c r="W31" s="362" t="s">
        <v>729</v>
      </c>
      <c r="X31" s="305"/>
      <c r="Y31" s="305"/>
      <c r="Z31" s="305"/>
      <c r="AA31" s="305"/>
      <c r="AB31" s="305"/>
      <c r="AC31" s="306">
        <v>41281</v>
      </c>
      <c r="AD31" s="307">
        <v>40599</v>
      </c>
      <c r="AE31" s="363">
        <f t="shared" ref="AE31:AE47" ca="1" si="4">TODAY()-DATE(YEAR(AD31)+6,MONTH(AD31),DAY(AD31))</f>
        <v>1591</v>
      </c>
      <c r="AF31" s="299" t="s">
        <v>1349</v>
      </c>
    </row>
    <row r="32" spans="1:33" s="311" customFormat="1" ht="39" thickBot="1" x14ac:dyDescent="0.25">
      <c r="A32" s="299" t="s">
        <v>817</v>
      </c>
      <c r="B32" s="299" t="s">
        <v>1347</v>
      </c>
      <c r="C32" s="299" t="s">
        <v>56</v>
      </c>
      <c r="D32" s="301" t="s">
        <v>198</v>
      </c>
      <c r="E32" s="301" t="s">
        <v>1210</v>
      </c>
      <c r="F32" s="302">
        <v>2930.4</v>
      </c>
      <c r="G32" s="360">
        <v>226.5</v>
      </c>
      <c r="H32" s="360">
        <v>226.5</v>
      </c>
      <c r="I32" s="360">
        <v>226.5</v>
      </c>
      <c r="J32" s="360">
        <v>244.2</v>
      </c>
      <c r="K32" s="360">
        <v>244.2</v>
      </c>
      <c r="L32" s="563" t="s">
        <v>314</v>
      </c>
      <c r="M32" s="360">
        <v>244.2</v>
      </c>
      <c r="N32" s="360">
        <v>488.4</v>
      </c>
      <c r="O32" s="360">
        <v>244.2</v>
      </c>
      <c r="P32" s="360">
        <v>244.2</v>
      </c>
      <c r="Q32" s="360">
        <v>244.2</v>
      </c>
      <c r="R32" s="360">
        <v>244.2</v>
      </c>
      <c r="S32" s="360">
        <f t="shared" si="2"/>
        <v>2877.2999999999993</v>
      </c>
      <c r="T32" s="361">
        <f t="shared" ca="1" si="0"/>
        <v>-2684</v>
      </c>
      <c r="U32" s="303">
        <v>41698</v>
      </c>
      <c r="V32" s="359" t="s">
        <v>1211</v>
      </c>
      <c r="W32" s="362" t="s">
        <v>735</v>
      </c>
      <c r="X32" s="305"/>
      <c r="Y32" s="305"/>
      <c r="Z32" s="305"/>
      <c r="AA32" s="305"/>
      <c r="AB32" s="305"/>
      <c r="AC32" s="306">
        <v>41667</v>
      </c>
      <c r="AD32" s="307">
        <v>40603</v>
      </c>
      <c r="AE32" s="363">
        <f t="shared" ca="1" si="4"/>
        <v>1587</v>
      </c>
      <c r="AF32" s="299" t="s">
        <v>1348</v>
      </c>
    </row>
    <row r="33" spans="1:37" s="311" customFormat="1" ht="30" customHeight="1" thickBot="1" x14ac:dyDescent="0.25">
      <c r="A33" s="299" t="s">
        <v>1379</v>
      </c>
      <c r="B33" s="299" t="s">
        <v>23</v>
      </c>
      <c r="C33" s="299" t="s">
        <v>56</v>
      </c>
      <c r="D33" s="301" t="s">
        <v>340</v>
      </c>
      <c r="E33" s="301" t="s">
        <v>608</v>
      </c>
      <c r="F33" s="302">
        <v>18070.439999999999</v>
      </c>
      <c r="G33" s="360">
        <v>1505.87</v>
      </c>
      <c r="H33" s="360">
        <v>1505.87</v>
      </c>
      <c r="I33" s="360">
        <v>1505.87</v>
      </c>
      <c r="J33" s="360">
        <v>1505.87</v>
      </c>
      <c r="K33" s="559" t="s">
        <v>314</v>
      </c>
      <c r="L33" s="559" t="s">
        <v>314</v>
      </c>
      <c r="M33" s="559" t="s">
        <v>314</v>
      </c>
      <c r="N33" s="559" t="s">
        <v>314</v>
      </c>
      <c r="O33" s="559" t="s">
        <v>314</v>
      </c>
      <c r="P33" s="559" t="s">
        <v>314</v>
      </c>
      <c r="Q33" s="559" t="s">
        <v>314</v>
      </c>
      <c r="R33" s="559" t="s">
        <v>314</v>
      </c>
      <c r="S33" s="360">
        <f t="shared" si="2"/>
        <v>6023.48</v>
      </c>
      <c r="T33" s="361">
        <f t="shared" ca="1" si="0"/>
        <v>-3040</v>
      </c>
      <c r="U33" s="303">
        <v>41342</v>
      </c>
      <c r="V33" s="359" t="s">
        <v>1053</v>
      </c>
      <c r="W33" s="362" t="s">
        <v>736</v>
      </c>
      <c r="X33" s="305"/>
      <c r="Y33" s="305"/>
      <c r="Z33" s="305"/>
      <c r="AA33" s="305"/>
      <c r="AB33" s="305"/>
      <c r="AC33" s="306">
        <v>41283</v>
      </c>
      <c r="AD33" s="307">
        <v>39882</v>
      </c>
      <c r="AE33" s="363">
        <f t="shared" ca="1" si="4"/>
        <v>2309</v>
      </c>
      <c r="AF33" s="299" t="s">
        <v>96</v>
      </c>
    </row>
    <row r="34" spans="1:37" s="311" customFormat="1" ht="30" customHeight="1" thickBot="1" x14ac:dyDescent="0.25">
      <c r="A34" s="299" t="s">
        <v>511</v>
      </c>
      <c r="B34" s="299" t="s">
        <v>1347</v>
      </c>
      <c r="C34" s="299" t="s">
        <v>56</v>
      </c>
      <c r="D34" s="301" t="s">
        <v>207</v>
      </c>
      <c r="E34" s="301" t="s">
        <v>208</v>
      </c>
      <c r="F34" s="302" t="s">
        <v>453</v>
      </c>
      <c r="G34" s="360">
        <v>491</v>
      </c>
      <c r="H34" s="360">
        <v>342.5</v>
      </c>
      <c r="I34" s="360">
        <v>480.5</v>
      </c>
      <c r="J34" s="563" t="s">
        <v>314</v>
      </c>
      <c r="K34" s="360">
        <f>522.5+516.5</f>
        <v>1039</v>
      </c>
      <c r="L34" s="360">
        <v>287.39999999999998</v>
      </c>
      <c r="M34" s="543">
        <v>414.1</v>
      </c>
      <c r="N34" s="360">
        <v>417.1</v>
      </c>
      <c r="O34" s="543">
        <v>379.9</v>
      </c>
      <c r="P34" s="360">
        <v>411.65</v>
      </c>
      <c r="Q34" s="360">
        <v>366.1</v>
      </c>
      <c r="R34" s="360">
        <v>369.4</v>
      </c>
      <c r="S34" s="360">
        <f t="shared" si="2"/>
        <v>4998.6499999999996</v>
      </c>
      <c r="T34" s="361">
        <f t="shared" ca="1" si="0"/>
        <v>-2668</v>
      </c>
      <c r="U34" s="303">
        <v>41714</v>
      </c>
      <c r="V34" s="359" t="s">
        <v>1232</v>
      </c>
      <c r="W34" s="362" t="s">
        <v>737</v>
      </c>
      <c r="X34" s="305"/>
      <c r="Y34" s="305"/>
      <c r="Z34" s="305"/>
      <c r="AA34" s="305"/>
      <c r="AB34" s="305"/>
      <c r="AC34" s="306">
        <v>41667</v>
      </c>
      <c r="AD34" s="307">
        <v>39889</v>
      </c>
      <c r="AE34" s="363">
        <f t="shared" ca="1" si="4"/>
        <v>2302</v>
      </c>
      <c r="AF34" s="299" t="s">
        <v>48</v>
      </c>
    </row>
    <row r="35" spans="1:37" s="311" customFormat="1" ht="30" customHeight="1" thickBot="1" x14ac:dyDescent="0.25">
      <c r="A35" s="299" t="s">
        <v>1032</v>
      </c>
      <c r="B35" s="299" t="s">
        <v>1347</v>
      </c>
      <c r="C35" s="299" t="s">
        <v>56</v>
      </c>
      <c r="D35" s="301" t="s">
        <v>1033</v>
      </c>
      <c r="E35" s="301" t="s">
        <v>1034</v>
      </c>
      <c r="F35" s="302">
        <v>7800</v>
      </c>
      <c r="G35" s="559" t="s">
        <v>314</v>
      </c>
      <c r="H35" s="360">
        <v>650</v>
      </c>
      <c r="I35" s="360">
        <f>650+650</f>
        <v>1300</v>
      </c>
      <c r="J35" s="360">
        <v>650</v>
      </c>
      <c r="K35" s="360">
        <v>650</v>
      </c>
      <c r="L35" s="360">
        <v>650</v>
      </c>
      <c r="M35" s="559" t="s">
        <v>314</v>
      </c>
      <c r="N35" s="559" t="s">
        <v>314</v>
      </c>
      <c r="O35" s="559" t="s">
        <v>314</v>
      </c>
      <c r="P35" s="559" t="s">
        <v>314</v>
      </c>
      <c r="Q35" s="559" t="s">
        <v>314</v>
      </c>
      <c r="R35" s="559" t="s">
        <v>314</v>
      </c>
      <c r="S35" s="360">
        <f t="shared" si="2"/>
        <v>3900</v>
      </c>
      <c r="T35" s="361">
        <f t="shared" ca="1" si="0"/>
        <v>-3021</v>
      </c>
      <c r="U35" s="303">
        <v>41361</v>
      </c>
      <c r="V35" s="359" t="s">
        <v>1035</v>
      </c>
      <c r="W35" s="362" t="s">
        <v>1036</v>
      </c>
      <c r="X35" s="305"/>
      <c r="Y35" s="305"/>
      <c r="Z35" s="305"/>
      <c r="AA35" s="305"/>
      <c r="AB35" s="305"/>
      <c r="AC35" s="306">
        <v>41302</v>
      </c>
      <c r="AD35" s="307">
        <v>40997</v>
      </c>
      <c r="AE35" s="363">
        <f t="shared" ca="1" si="4"/>
        <v>1194</v>
      </c>
      <c r="AF35" s="299" t="s">
        <v>48</v>
      </c>
    </row>
    <row r="36" spans="1:37" s="311" customFormat="1" ht="30" customHeight="1" thickBot="1" x14ac:dyDescent="0.25">
      <c r="A36" s="299" t="s">
        <v>894</v>
      </c>
      <c r="B36" s="299" t="s">
        <v>23</v>
      </c>
      <c r="C36" s="299" t="s">
        <v>56</v>
      </c>
      <c r="D36" s="301" t="s">
        <v>979</v>
      </c>
      <c r="E36" s="301" t="s">
        <v>896</v>
      </c>
      <c r="F36" s="302" t="s">
        <v>978</v>
      </c>
      <c r="G36" s="559" t="s">
        <v>314</v>
      </c>
      <c r="H36" s="559" t="s">
        <v>314</v>
      </c>
      <c r="I36" s="559" t="s">
        <v>314</v>
      </c>
      <c r="J36" s="559" t="s">
        <v>314</v>
      </c>
      <c r="K36" s="559" t="s">
        <v>314</v>
      </c>
      <c r="L36" s="559" t="s">
        <v>314</v>
      </c>
      <c r="M36" s="559" t="s">
        <v>314</v>
      </c>
      <c r="N36" s="559" t="s">
        <v>314</v>
      </c>
      <c r="O36" s="559" t="s">
        <v>314</v>
      </c>
      <c r="P36" s="559" t="s">
        <v>314</v>
      </c>
      <c r="Q36" s="559" t="s">
        <v>314</v>
      </c>
      <c r="R36" s="559" t="s">
        <v>314</v>
      </c>
      <c r="S36" s="360">
        <f t="shared" si="2"/>
        <v>0</v>
      </c>
      <c r="T36" s="361">
        <f t="shared" ca="1" si="0"/>
        <v>-3020</v>
      </c>
      <c r="U36" s="303">
        <v>41362</v>
      </c>
      <c r="V36" s="351" t="s">
        <v>980</v>
      </c>
      <c r="W36" s="310" t="s">
        <v>981</v>
      </c>
      <c r="X36" s="305"/>
      <c r="Y36" s="305"/>
      <c r="Z36" s="305"/>
      <c r="AA36" s="305"/>
      <c r="AB36" s="305"/>
      <c r="AC36" s="306">
        <v>41302</v>
      </c>
      <c r="AD36" s="307">
        <v>40816</v>
      </c>
      <c r="AE36" s="363">
        <f t="shared" ca="1" si="4"/>
        <v>1374</v>
      </c>
      <c r="AF36" s="299" t="s">
        <v>48</v>
      </c>
    </row>
    <row r="37" spans="1:37" s="311" customFormat="1" ht="39" thickBot="1" x14ac:dyDescent="0.25">
      <c r="A37" s="299" t="s">
        <v>1037</v>
      </c>
      <c r="B37" s="299" t="s">
        <v>1353</v>
      </c>
      <c r="C37" s="299" t="s">
        <v>56</v>
      </c>
      <c r="D37" s="301" t="s">
        <v>1038</v>
      </c>
      <c r="E37" s="301" t="s">
        <v>1213</v>
      </c>
      <c r="F37" s="302">
        <v>12112</v>
      </c>
      <c r="G37" s="360">
        <v>767.12</v>
      </c>
      <c r="H37" s="360">
        <v>801</v>
      </c>
      <c r="I37" s="360">
        <v>801</v>
      </c>
      <c r="J37" s="360">
        <v>801</v>
      </c>
      <c r="K37" s="360">
        <v>801</v>
      </c>
      <c r="L37" s="360">
        <v>801</v>
      </c>
      <c r="M37" s="360">
        <v>801</v>
      </c>
      <c r="N37" s="360">
        <v>801</v>
      </c>
      <c r="O37" s="360">
        <v>801</v>
      </c>
      <c r="P37" s="360">
        <v>801</v>
      </c>
      <c r="Q37" s="360">
        <v>801</v>
      </c>
      <c r="R37" s="360">
        <v>801</v>
      </c>
      <c r="S37" s="360">
        <f t="shared" si="2"/>
        <v>9578.119999999999</v>
      </c>
      <c r="T37" s="361">
        <f t="shared" ca="1" si="0"/>
        <v>-2659</v>
      </c>
      <c r="U37" s="303">
        <v>41723</v>
      </c>
      <c r="V37" s="359" t="s">
        <v>1346</v>
      </c>
      <c r="W37" s="362" t="s">
        <v>1041</v>
      </c>
      <c r="X37" s="305"/>
      <c r="Y37" s="305"/>
      <c r="Z37" s="305"/>
      <c r="AA37" s="305"/>
      <c r="AB37" s="305"/>
      <c r="AC37" s="306">
        <v>41667</v>
      </c>
      <c r="AD37" s="307">
        <v>40998</v>
      </c>
      <c r="AE37" s="363">
        <f t="shared" ca="1" si="4"/>
        <v>1193</v>
      </c>
      <c r="AF37" s="299" t="s">
        <v>48</v>
      </c>
    </row>
    <row r="38" spans="1:37" s="311" customFormat="1" ht="39" thickBot="1" x14ac:dyDescent="0.25">
      <c r="A38" s="299" t="s">
        <v>1042</v>
      </c>
      <c r="B38" s="299" t="s">
        <v>1043</v>
      </c>
      <c r="C38" s="299" t="s">
        <v>617</v>
      </c>
      <c r="D38" s="301" t="s">
        <v>1044</v>
      </c>
      <c r="E38" s="301" t="s">
        <v>1351</v>
      </c>
      <c r="F38" s="302">
        <v>283977</v>
      </c>
      <c r="G38" s="360">
        <f>12453.25+227</f>
        <v>12680.25</v>
      </c>
      <c r="H38" s="360">
        <v>11143.53</v>
      </c>
      <c r="I38" s="360">
        <f>8965.58+11788.88</f>
        <v>20754.46</v>
      </c>
      <c r="J38" s="563" t="s">
        <v>314</v>
      </c>
      <c r="K38" s="360">
        <v>13233.35</v>
      </c>
      <c r="L38" s="360">
        <v>10896.26</v>
      </c>
      <c r="M38" s="360">
        <v>10464.75</v>
      </c>
      <c r="N38" s="360">
        <v>12706</v>
      </c>
      <c r="O38" s="360">
        <v>14741</v>
      </c>
      <c r="P38" s="360">
        <v>15374</v>
      </c>
      <c r="Q38" s="559" t="s">
        <v>314</v>
      </c>
      <c r="R38" s="559" t="s">
        <v>314</v>
      </c>
      <c r="S38" s="360">
        <f t="shared" si="2"/>
        <v>121993.59999999999</v>
      </c>
      <c r="T38" s="361">
        <f t="shared" ca="1" si="0"/>
        <v>-2652</v>
      </c>
      <c r="U38" s="303">
        <v>41730</v>
      </c>
      <c r="V38" s="359" t="s">
        <v>1237</v>
      </c>
      <c r="W38" s="362" t="s">
        <v>1048</v>
      </c>
      <c r="X38" s="305"/>
      <c r="Y38" s="305"/>
      <c r="Z38" s="305"/>
      <c r="AA38" s="305"/>
      <c r="AB38" s="305"/>
      <c r="AC38" s="306">
        <v>41667</v>
      </c>
      <c r="AD38" s="307">
        <v>41001</v>
      </c>
      <c r="AE38" s="363">
        <f t="shared" ca="1" si="4"/>
        <v>1190</v>
      </c>
      <c r="AF38" s="299" t="s">
        <v>96</v>
      </c>
      <c r="AG38" s="311" t="s">
        <v>1483</v>
      </c>
    </row>
    <row r="39" spans="1:37" s="311" customFormat="1" ht="30" customHeight="1" thickBot="1" x14ac:dyDescent="0.25">
      <c r="A39" s="321" t="s">
        <v>583</v>
      </c>
      <c r="B39" s="299" t="s">
        <v>1347</v>
      </c>
      <c r="C39" s="299" t="s">
        <v>61</v>
      </c>
      <c r="D39" s="301" t="s">
        <v>50</v>
      </c>
      <c r="E39" s="301" t="s">
        <v>51</v>
      </c>
      <c r="F39" s="302" t="s">
        <v>848</v>
      </c>
      <c r="G39" s="360">
        <v>907.16</v>
      </c>
      <c r="H39" s="360">
        <v>907.16</v>
      </c>
      <c r="I39" s="360">
        <v>907.16</v>
      </c>
      <c r="J39" s="360">
        <v>907.16</v>
      </c>
      <c r="K39" s="360">
        <v>907.16</v>
      </c>
      <c r="L39" s="360">
        <v>907.16</v>
      </c>
      <c r="M39" s="360">
        <v>907.16</v>
      </c>
      <c r="N39" s="360">
        <v>907.16</v>
      </c>
      <c r="O39" s="360">
        <v>907.16</v>
      </c>
      <c r="P39" s="360">
        <v>907.16</v>
      </c>
      <c r="Q39" s="360">
        <v>907.16</v>
      </c>
      <c r="R39" s="360">
        <v>907.16</v>
      </c>
      <c r="S39" s="360">
        <f t="shared" si="2"/>
        <v>10885.92</v>
      </c>
      <c r="T39" s="361">
        <f t="shared" ca="1" si="0"/>
        <v>-2631</v>
      </c>
      <c r="U39" s="303">
        <v>41751</v>
      </c>
      <c r="V39" s="359" t="s">
        <v>1240</v>
      </c>
      <c r="W39" s="362" t="s">
        <v>738</v>
      </c>
      <c r="X39" s="305"/>
      <c r="Y39" s="305"/>
      <c r="Z39" s="305"/>
      <c r="AA39" s="305"/>
      <c r="AB39" s="305"/>
      <c r="AC39" s="306">
        <v>41696</v>
      </c>
      <c r="AD39" s="307">
        <v>39926</v>
      </c>
      <c r="AE39" s="363">
        <f t="shared" ca="1" si="4"/>
        <v>2265</v>
      </c>
      <c r="AF39" s="299" t="s">
        <v>54</v>
      </c>
    </row>
    <row r="40" spans="1:37" s="311" customFormat="1" ht="30" customHeight="1" thickBot="1" x14ac:dyDescent="0.25">
      <c r="A40" s="348" t="s">
        <v>1094</v>
      </c>
      <c r="B40" s="299" t="s">
        <v>23</v>
      </c>
      <c r="C40" s="299" t="s">
        <v>372</v>
      </c>
      <c r="D40" s="349" t="s">
        <v>1095</v>
      </c>
      <c r="E40" s="349" t="s">
        <v>1096</v>
      </c>
      <c r="F40" s="302">
        <v>0</v>
      </c>
      <c r="G40" s="559" t="s">
        <v>314</v>
      </c>
      <c r="H40" s="559" t="s">
        <v>314</v>
      </c>
      <c r="I40" s="559" t="s">
        <v>314</v>
      </c>
      <c r="J40" s="559" t="s">
        <v>314</v>
      </c>
      <c r="K40" s="559" t="s">
        <v>314</v>
      </c>
      <c r="L40" s="559" t="s">
        <v>314</v>
      </c>
      <c r="M40" s="559" t="s">
        <v>314</v>
      </c>
      <c r="N40" s="559" t="s">
        <v>314</v>
      </c>
      <c r="O40" s="559" t="s">
        <v>314</v>
      </c>
      <c r="P40" s="559" t="s">
        <v>314</v>
      </c>
      <c r="Q40" s="559" t="s">
        <v>314</v>
      </c>
      <c r="R40" s="559" t="s">
        <v>314</v>
      </c>
      <c r="S40" s="284">
        <f t="shared" si="2"/>
        <v>0</v>
      </c>
      <c r="T40" s="274">
        <f t="shared" ca="1" si="0"/>
        <v>-2985</v>
      </c>
      <c r="U40" s="303">
        <v>41397</v>
      </c>
      <c r="V40" s="304" t="s">
        <v>1097</v>
      </c>
      <c r="W40" s="362"/>
      <c r="X40" s="305"/>
      <c r="Y40" s="305"/>
      <c r="Z40" s="305"/>
      <c r="AA40" s="305"/>
      <c r="AB40" s="305"/>
      <c r="AC40" s="306">
        <v>41589</v>
      </c>
      <c r="AD40" s="307">
        <v>41033</v>
      </c>
      <c r="AE40" s="278">
        <f t="shared" ca="1" si="4"/>
        <v>1158</v>
      </c>
      <c r="AF40" s="299" t="s">
        <v>1093</v>
      </c>
    </row>
    <row r="41" spans="1:37" s="311" customFormat="1" ht="30" customHeight="1" thickBot="1" x14ac:dyDescent="0.25">
      <c r="A41" s="299" t="s">
        <v>353</v>
      </c>
      <c r="B41" s="299" t="s">
        <v>23</v>
      </c>
      <c r="C41" s="299" t="s">
        <v>24</v>
      </c>
      <c r="D41" s="301" t="s">
        <v>260</v>
      </c>
      <c r="E41" s="301" t="s">
        <v>26</v>
      </c>
      <c r="F41" s="302" t="s">
        <v>1069</v>
      </c>
      <c r="G41" s="985" t="s">
        <v>1407</v>
      </c>
      <c r="H41" s="986"/>
      <c r="I41" s="986"/>
      <c r="J41" s="986"/>
      <c r="K41" s="987"/>
      <c r="L41" s="360"/>
      <c r="M41" s="360"/>
      <c r="N41" s="360"/>
      <c r="O41" s="360"/>
      <c r="P41" s="360"/>
      <c r="Q41" s="360"/>
      <c r="R41" s="360"/>
      <c r="S41" s="360">
        <f t="shared" si="2"/>
        <v>0</v>
      </c>
      <c r="T41" s="361">
        <f t="shared" ca="1" si="0"/>
        <v>-2981</v>
      </c>
      <c r="U41" s="303">
        <v>41401</v>
      </c>
      <c r="V41" s="310" t="s">
        <v>355</v>
      </c>
      <c r="W41" s="310" t="s">
        <v>841</v>
      </c>
      <c r="X41" s="305"/>
      <c r="Y41" s="305"/>
      <c r="Z41" s="305"/>
      <c r="AA41" s="305"/>
      <c r="AB41" s="305"/>
      <c r="AC41" s="306">
        <v>41341</v>
      </c>
      <c r="AD41" s="307">
        <v>39576</v>
      </c>
      <c r="AE41" s="363">
        <f t="shared" ca="1" si="4"/>
        <v>2615</v>
      </c>
      <c r="AF41" s="299" t="s">
        <v>29</v>
      </c>
    </row>
    <row r="42" spans="1:37" s="311" customFormat="1" ht="39" thickBot="1" x14ac:dyDescent="0.25">
      <c r="A42" s="348" t="s">
        <v>1103</v>
      </c>
      <c r="B42" s="299" t="s">
        <v>1353</v>
      </c>
      <c r="C42" s="299" t="s">
        <v>61</v>
      </c>
      <c r="D42" s="349" t="s">
        <v>1104</v>
      </c>
      <c r="E42" s="349" t="s">
        <v>1105</v>
      </c>
      <c r="F42" s="302">
        <v>3502.08</v>
      </c>
      <c r="G42" s="360">
        <v>246.3</v>
      </c>
      <c r="H42" s="360">
        <v>380.8</v>
      </c>
      <c r="I42" s="360">
        <v>260.48</v>
      </c>
      <c r="J42" s="360">
        <v>316.32</v>
      </c>
      <c r="K42" s="360">
        <v>350</v>
      </c>
      <c r="L42" s="360">
        <v>350</v>
      </c>
      <c r="M42" s="360">
        <v>350</v>
      </c>
      <c r="N42" s="360">
        <v>370.24</v>
      </c>
      <c r="O42" s="360">
        <v>162.4</v>
      </c>
      <c r="P42" s="360">
        <v>354.88</v>
      </c>
      <c r="Q42" s="559" t="s">
        <v>314</v>
      </c>
      <c r="R42" s="559" t="s">
        <v>314</v>
      </c>
      <c r="S42" s="360">
        <f t="shared" si="2"/>
        <v>3141.4200000000005</v>
      </c>
      <c r="T42" s="361">
        <f t="shared" ca="1" si="0"/>
        <v>-2605</v>
      </c>
      <c r="U42" s="303">
        <v>41777</v>
      </c>
      <c r="V42" s="359" t="s">
        <v>1251</v>
      </c>
      <c r="W42" s="362" t="s">
        <v>1354</v>
      </c>
      <c r="X42" s="305"/>
      <c r="Y42" s="305"/>
      <c r="Z42" s="305"/>
      <c r="AA42" s="305"/>
      <c r="AB42" s="305"/>
      <c r="AC42" s="306"/>
      <c r="AD42" s="307">
        <v>41047</v>
      </c>
      <c r="AE42" s="363">
        <f t="shared" ca="1" si="4"/>
        <v>1144</v>
      </c>
      <c r="AF42" s="299" t="s">
        <v>29</v>
      </c>
    </row>
    <row r="43" spans="1:37" s="311" customFormat="1" ht="39" thickBot="1" x14ac:dyDescent="0.25">
      <c r="A43" s="299" t="s">
        <v>677</v>
      </c>
      <c r="B43" s="554" t="s">
        <v>678</v>
      </c>
      <c r="C43" s="299" t="s">
        <v>37</v>
      </c>
      <c r="D43" s="301" t="s">
        <v>38</v>
      </c>
      <c r="E43" s="301" t="s">
        <v>1238</v>
      </c>
      <c r="F43" s="302">
        <v>79590</v>
      </c>
      <c r="G43" s="360">
        <v>6632.6</v>
      </c>
      <c r="H43" s="545">
        <v>6632.6</v>
      </c>
      <c r="I43" s="360">
        <v>6632.6</v>
      </c>
      <c r="J43" s="360">
        <v>6632.6</v>
      </c>
      <c r="K43" s="360">
        <v>6632.6</v>
      </c>
      <c r="L43" s="360">
        <v>6632.6</v>
      </c>
      <c r="M43" s="360">
        <v>6632.6</v>
      </c>
      <c r="N43" s="360">
        <v>6632.6</v>
      </c>
      <c r="O43" s="360">
        <v>6632.6</v>
      </c>
      <c r="P43" s="360">
        <v>6632.6</v>
      </c>
      <c r="Q43" s="360">
        <v>6632.6</v>
      </c>
      <c r="R43" s="360">
        <v>6632.6</v>
      </c>
      <c r="S43" s="360">
        <f t="shared" si="2"/>
        <v>79591.200000000012</v>
      </c>
      <c r="T43" s="361">
        <f t="shared" ca="1" si="0"/>
        <v>-2603</v>
      </c>
      <c r="U43" s="303">
        <v>41779</v>
      </c>
      <c r="V43" s="359" t="s">
        <v>1239</v>
      </c>
      <c r="W43" s="362" t="s">
        <v>739</v>
      </c>
      <c r="X43" s="305"/>
      <c r="Y43" s="305"/>
      <c r="Z43" s="305"/>
      <c r="AA43" s="305"/>
      <c r="AB43" s="305"/>
      <c r="AC43" s="306">
        <v>41722</v>
      </c>
      <c r="AD43" s="307">
        <v>40318</v>
      </c>
      <c r="AE43" s="363">
        <f t="shared" ca="1" si="4"/>
        <v>1872</v>
      </c>
      <c r="AF43" s="299" t="s">
        <v>41</v>
      </c>
      <c r="AG43" s="983" t="s">
        <v>1503</v>
      </c>
      <c r="AH43" s="984"/>
      <c r="AI43" s="984"/>
      <c r="AJ43" s="984"/>
    </row>
    <row r="44" spans="1:37" s="311" customFormat="1" ht="39" thickBot="1" x14ac:dyDescent="0.25">
      <c r="A44" s="299" t="s">
        <v>718</v>
      </c>
      <c r="B44" s="299" t="s">
        <v>719</v>
      </c>
      <c r="C44" s="299" t="s">
        <v>617</v>
      </c>
      <c r="D44" s="301" t="s">
        <v>379</v>
      </c>
      <c r="E44" s="301" t="s">
        <v>720</v>
      </c>
      <c r="F44" s="302" t="s">
        <v>721</v>
      </c>
      <c r="G44" s="559" t="s">
        <v>314</v>
      </c>
      <c r="H44" s="559" t="s">
        <v>314</v>
      </c>
      <c r="I44" s="559" t="s">
        <v>314</v>
      </c>
      <c r="J44" s="559" t="s">
        <v>314</v>
      </c>
      <c r="K44" s="559" t="s">
        <v>314</v>
      </c>
      <c r="L44" s="559" t="s">
        <v>314</v>
      </c>
      <c r="M44" s="559" t="s">
        <v>314</v>
      </c>
      <c r="N44" s="559" t="s">
        <v>314</v>
      </c>
      <c r="O44" s="559" t="s">
        <v>314</v>
      </c>
      <c r="P44" s="559" t="s">
        <v>314</v>
      </c>
      <c r="Q44" s="559" t="s">
        <v>314</v>
      </c>
      <c r="R44" s="559" t="s">
        <v>314</v>
      </c>
      <c r="S44" s="360">
        <f t="shared" si="2"/>
        <v>0</v>
      </c>
      <c r="T44" s="361">
        <f t="shared" ca="1" si="0"/>
        <v>-2836</v>
      </c>
      <c r="U44" s="303">
        <v>41546</v>
      </c>
      <c r="V44" s="359" t="s">
        <v>722</v>
      </c>
      <c r="W44" s="362" t="s">
        <v>745</v>
      </c>
      <c r="X44" s="305"/>
      <c r="Y44" s="305"/>
      <c r="Z44" s="305"/>
      <c r="AA44" s="305"/>
      <c r="AB44" s="305"/>
      <c r="AC44" s="306">
        <v>41512</v>
      </c>
      <c r="AD44" s="307">
        <v>40451</v>
      </c>
      <c r="AE44" s="363">
        <f t="shared" ca="1" si="4"/>
        <v>1739</v>
      </c>
      <c r="AF44" s="299" t="s">
        <v>41</v>
      </c>
    </row>
    <row r="45" spans="1:37" s="311" customFormat="1" ht="39" thickBot="1" x14ac:dyDescent="0.25">
      <c r="A45" s="326" t="s">
        <v>23</v>
      </c>
      <c r="B45" s="300" t="s">
        <v>23</v>
      </c>
      <c r="C45" s="299" t="s">
        <v>24</v>
      </c>
      <c r="D45" s="301" t="s">
        <v>303</v>
      </c>
      <c r="E45" s="349" t="s">
        <v>971</v>
      </c>
      <c r="F45" s="302" t="s">
        <v>972</v>
      </c>
      <c r="G45" s="284"/>
      <c r="H45" s="284"/>
      <c r="I45" s="284"/>
      <c r="J45" s="284"/>
      <c r="K45" s="284"/>
      <c r="L45" s="284"/>
      <c r="M45" s="284"/>
      <c r="N45" s="360"/>
      <c r="O45" s="360"/>
      <c r="P45" s="360"/>
      <c r="Q45" s="360"/>
      <c r="R45" s="360"/>
      <c r="S45" s="284">
        <f t="shared" si="2"/>
        <v>0</v>
      </c>
      <c r="T45" s="371">
        <f t="shared" ca="1" si="0"/>
        <v>-2769</v>
      </c>
      <c r="U45" s="303">
        <v>41613</v>
      </c>
      <c r="V45" s="304" t="s">
        <v>970</v>
      </c>
      <c r="W45" s="315" t="s">
        <v>727</v>
      </c>
      <c r="X45" s="305"/>
      <c r="Y45" s="305"/>
      <c r="Z45" s="305"/>
      <c r="AA45" s="305"/>
      <c r="AB45" s="305"/>
      <c r="AC45" s="306">
        <v>41578</v>
      </c>
      <c r="AD45" s="307">
        <v>40883</v>
      </c>
      <c r="AE45" s="278">
        <f t="shared" ca="1" si="4"/>
        <v>1307</v>
      </c>
      <c r="AF45" s="326" t="s">
        <v>54</v>
      </c>
    </row>
    <row r="46" spans="1:37" s="311" customFormat="1" ht="30" customHeight="1" thickBot="1" x14ac:dyDescent="0.25">
      <c r="A46" s="299" t="s">
        <v>855</v>
      </c>
      <c r="B46" s="299" t="s">
        <v>667</v>
      </c>
      <c r="C46" s="299" t="s">
        <v>772</v>
      </c>
      <c r="D46" s="301" t="s">
        <v>856</v>
      </c>
      <c r="E46" s="301" t="s">
        <v>857</v>
      </c>
      <c r="F46" s="302" t="s">
        <v>859</v>
      </c>
      <c r="G46" s="284">
        <f>120.25+657.62</f>
        <v>777.87</v>
      </c>
      <c r="H46" s="284">
        <f>120.25+614.77</f>
        <v>735.02</v>
      </c>
      <c r="I46" s="284">
        <f>650.03+120.25</f>
        <v>770.28</v>
      </c>
      <c r="J46" s="284">
        <f>120.25+1346.78</f>
        <v>1467.03</v>
      </c>
      <c r="K46" s="284">
        <f>1962.07+120.25</f>
        <v>2082.3199999999997</v>
      </c>
      <c r="L46" s="284">
        <f>128.61+2189.32</f>
        <v>2317.9300000000003</v>
      </c>
      <c r="M46" s="284">
        <f>178.8+1833.32</f>
        <v>2012.12</v>
      </c>
      <c r="N46" s="284">
        <f>178.8+1124.04</f>
        <v>1302.8399999999999</v>
      </c>
      <c r="O46" s="284">
        <f>1377.62+195.06</f>
        <v>1572.6799999999998</v>
      </c>
      <c r="P46" s="284">
        <f>1331.5</f>
        <v>1331.5</v>
      </c>
      <c r="Q46" s="284">
        <f>186.09+2222.03</f>
        <v>2408.1200000000003</v>
      </c>
      <c r="R46" s="284">
        <f>950.94+183.1</f>
        <v>1134.04</v>
      </c>
      <c r="S46" s="284">
        <f t="shared" si="2"/>
        <v>17911.75</v>
      </c>
      <c r="T46" s="274">
        <f t="shared" ca="1" si="0"/>
        <v>-2768</v>
      </c>
      <c r="U46" s="303">
        <v>41614</v>
      </c>
      <c r="V46" s="310" t="s">
        <v>860</v>
      </c>
      <c r="W46" s="279" t="s">
        <v>861</v>
      </c>
      <c r="X46" s="305"/>
      <c r="Y46" s="305"/>
      <c r="Z46" s="305"/>
      <c r="AA46" s="305"/>
      <c r="AB46" s="305"/>
      <c r="AC46" s="307">
        <v>41578</v>
      </c>
      <c r="AD46" s="325">
        <v>40701</v>
      </c>
      <c r="AE46" s="278">
        <f t="shared" ca="1" si="4"/>
        <v>1489</v>
      </c>
      <c r="AF46" s="299" t="s">
        <v>48</v>
      </c>
    </row>
    <row r="47" spans="1:37" s="311" customFormat="1" ht="39" thickBot="1" x14ac:dyDescent="0.25">
      <c r="A47" s="348" t="s">
        <v>1098</v>
      </c>
      <c r="B47" s="299" t="s">
        <v>1374</v>
      </c>
      <c r="C47" s="299"/>
      <c r="D47" s="349" t="s">
        <v>333</v>
      </c>
      <c r="E47" s="478" t="s">
        <v>1099</v>
      </c>
      <c r="F47" s="302" t="s">
        <v>1101</v>
      </c>
      <c r="G47" s="559" t="s">
        <v>314</v>
      </c>
      <c r="H47" s="559" t="s">
        <v>314</v>
      </c>
      <c r="I47" s="559" t="s">
        <v>314</v>
      </c>
      <c r="J47" s="559" t="s">
        <v>314</v>
      </c>
      <c r="K47" s="559" t="s">
        <v>314</v>
      </c>
      <c r="L47" s="559" t="s">
        <v>314</v>
      </c>
      <c r="M47" s="559" t="s">
        <v>314</v>
      </c>
      <c r="N47" s="559" t="s">
        <v>314</v>
      </c>
      <c r="O47" s="559" t="s">
        <v>314</v>
      </c>
      <c r="P47" s="559" t="s">
        <v>314</v>
      </c>
      <c r="Q47" s="559" t="s">
        <v>314</v>
      </c>
      <c r="R47" s="284">
        <v>4084.99</v>
      </c>
      <c r="S47" s="284">
        <f t="shared" si="2"/>
        <v>4084.99</v>
      </c>
      <c r="T47" s="274">
        <f t="shared" ca="1" si="0"/>
        <v>-2596</v>
      </c>
      <c r="U47" s="303">
        <v>41786</v>
      </c>
      <c r="V47" s="304" t="s">
        <v>1102</v>
      </c>
      <c r="W47" s="465" t="s">
        <v>863</v>
      </c>
      <c r="X47" s="305"/>
      <c r="Y47" s="305"/>
      <c r="Z47" s="305"/>
      <c r="AA47" s="305"/>
      <c r="AB47" s="305"/>
      <c r="AC47" s="306">
        <v>41722</v>
      </c>
      <c r="AD47" s="307">
        <v>41057</v>
      </c>
      <c r="AE47" s="278">
        <f t="shared" ca="1" si="4"/>
        <v>1134</v>
      </c>
      <c r="AF47" s="299" t="s">
        <v>41</v>
      </c>
      <c r="AG47" s="983" t="s">
        <v>1504</v>
      </c>
      <c r="AH47" s="984"/>
      <c r="AI47" s="984"/>
      <c r="AJ47" s="984"/>
      <c r="AK47" s="984"/>
    </row>
    <row r="48" spans="1:37" s="311" customFormat="1" ht="30" customHeight="1" thickBot="1" x14ac:dyDescent="0.25">
      <c r="A48" s="348" t="s">
        <v>1089</v>
      </c>
      <c r="B48" s="299" t="s">
        <v>23</v>
      </c>
      <c r="C48" s="299" t="s">
        <v>372</v>
      </c>
      <c r="D48" s="349" t="s">
        <v>1090</v>
      </c>
      <c r="E48" s="349" t="s">
        <v>1091</v>
      </c>
      <c r="F48" s="302">
        <v>0</v>
      </c>
      <c r="G48" s="559" t="s">
        <v>314</v>
      </c>
      <c r="H48" s="559" t="s">
        <v>314</v>
      </c>
      <c r="I48" s="559" t="s">
        <v>314</v>
      </c>
      <c r="J48" s="559" t="s">
        <v>314</v>
      </c>
      <c r="K48" s="559" t="s">
        <v>314</v>
      </c>
      <c r="L48" s="559" t="s">
        <v>314</v>
      </c>
      <c r="M48" s="559" t="s">
        <v>314</v>
      </c>
      <c r="N48" s="559" t="s">
        <v>314</v>
      </c>
      <c r="O48" s="559" t="s">
        <v>314</v>
      </c>
      <c r="P48" s="559" t="s">
        <v>314</v>
      </c>
      <c r="Q48" s="559" t="s">
        <v>314</v>
      </c>
      <c r="R48" s="559" t="s">
        <v>314</v>
      </c>
      <c r="S48" s="284">
        <f t="shared" si="2"/>
        <v>0</v>
      </c>
      <c r="T48" s="274">
        <f t="shared" ca="1" si="0"/>
        <v>-1521</v>
      </c>
      <c r="U48" s="303">
        <v>42861</v>
      </c>
      <c r="V48" s="304" t="s">
        <v>1092</v>
      </c>
      <c r="W48" s="465" t="s">
        <v>1093</v>
      </c>
      <c r="X48" s="305"/>
      <c r="Y48" s="305"/>
      <c r="Z48" s="305"/>
      <c r="AA48" s="305"/>
      <c r="AB48" s="305"/>
      <c r="AC48" s="306"/>
      <c r="AD48" s="307">
        <v>41036</v>
      </c>
      <c r="AE48" s="278">
        <f ca="1">TODAY()-DATE(YEAR(AD48)+5,MONTH(AD48),DAY(AD48))</f>
        <v>1520</v>
      </c>
      <c r="AF48" s="299" t="s">
        <v>96</v>
      </c>
    </row>
    <row r="49" spans="1:33" s="311" customFormat="1" ht="30" customHeight="1" thickBot="1" x14ac:dyDescent="0.25">
      <c r="A49" s="348" t="s">
        <v>1065</v>
      </c>
      <c r="B49" s="299" t="s">
        <v>23</v>
      </c>
      <c r="C49" s="299" t="s">
        <v>56</v>
      </c>
      <c r="D49" s="349" t="s">
        <v>1066</v>
      </c>
      <c r="E49" s="349" t="s">
        <v>1067</v>
      </c>
      <c r="F49" s="302" t="s">
        <v>1074</v>
      </c>
      <c r="G49" s="559" t="s">
        <v>314</v>
      </c>
      <c r="H49" s="559" t="s">
        <v>314</v>
      </c>
      <c r="I49" s="559" t="s">
        <v>314</v>
      </c>
      <c r="J49" s="559" t="s">
        <v>314</v>
      </c>
      <c r="K49" s="559" t="s">
        <v>314</v>
      </c>
      <c r="L49" s="559" t="s">
        <v>314</v>
      </c>
      <c r="M49" s="559" t="s">
        <v>314</v>
      </c>
      <c r="N49" s="559" t="s">
        <v>314</v>
      </c>
      <c r="O49" s="559" t="s">
        <v>314</v>
      </c>
      <c r="P49" s="559" t="s">
        <v>314</v>
      </c>
      <c r="Q49" s="559" t="s">
        <v>314</v>
      </c>
      <c r="R49" s="559" t="s">
        <v>314</v>
      </c>
      <c r="S49" s="284">
        <f t="shared" si="2"/>
        <v>0</v>
      </c>
      <c r="T49" s="473"/>
      <c r="U49" s="303" t="s">
        <v>233</v>
      </c>
      <c r="V49" s="304" t="s">
        <v>1068</v>
      </c>
      <c r="W49" s="465" t="s">
        <v>1088</v>
      </c>
      <c r="X49" s="305"/>
      <c r="Y49" s="305"/>
      <c r="Z49" s="305"/>
      <c r="AA49" s="305"/>
      <c r="AB49" s="305"/>
      <c r="AC49" s="306"/>
      <c r="AD49" s="307">
        <v>40998</v>
      </c>
      <c r="AE49" s="278">
        <f t="shared" ref="AE49:AE64" ca="1" si="5">TODAY()-DATE(YEAR(AD49)+5,MONTH(AD49),DAY(AD49))</f>
        <v>1558</v>
      </c>
      <c r="AF49" s="299" t="s">
        <v>41</v>
      </c>
    </row>
    <row r="50" spans="1:33" s="311" customFormat="1" ht="39" thickBot="1" x14ac:dyDescent="0.25">
      <c r="A50" s="474" t="s">
        <v>23</v>
      </c>
      <c r="B50" s="475" t="s">
        <v>23</v>
      </c>
      <c r="C50" s="476" t="s">
        <v>372</v>
      </c>
      <c r="D50" s="477" t="s">
        <v>1022</v>
      </c>
      <c r="E50" s="349" t="s">
        <v>968</v>
      </c>
      <c r="F50" s="302" t="s">
        <v>972</v>
      </c>
      <c r="G50" s="559" t="s">
        <v>314</v>
      </c>
      <c r="H50" s="559" t="s">
        <v>314</v>
      </c>
      <c r="I50" s="559" t="s">
        <v>314</v>
      </c>
      <c r="J50" s="559" t="s">
        <v>314</v>
      </c>
      <c r="K50" s="559" t="s">
        <v>314</v>
      </c>
      <c r="L50" s="559" t="s">
        <v>314</v>
      </c>
      <c r="M50" s="559" t="s">
        <v>314</v>
      </c>
      <c r="N50" s="559" t="s">
        <v>314</v>
      </c>
      <c r="O50" s="559" t="s">
        <v>314</v>
      </c>
      <c r="P50" s="559" t="s">
        <v>314</v>
      </c>
      <c r="Q50" s="360"/>
      <c r="R50" s="360"/>
      <c r="S50" s="284">
        <f t="shared" si="2"/>
        <v>0</v>
      </c>
      <c r="T50" s="473"/>
      <c r="U50" s="303" t="s">
        <v>233</v>
      </c>
      <c r="V50" s="304" t="s">
        <v>969</v>
      </c>
      <c r="W50" s="483" t="s">
        <v>1014</v>
      </c>
      <c r="X50" s="305"/>
      <c r="Y50" s="305"/>
      <c r="Z50" s="305"/>
      <c r="AA50" s="305"/>
      <c r="AB50" s="305"/>
      <c r="AC50" s="306"/>
      <c r="AD50" s="307">
        <v>36819</v>
      </c>
      <c r="AE50" s="278">
        <f t="shared" ca="1" si="5"/>
        <v>5737</v>
      </c>
      <c r="AF50" s="474" t="s">
        <v>54</v>
      </c>
    </row>
    <row r="51" spans="1:33" s="1" customFormat="1" ht="39" thickBot="1" x14ac:dyDescent="0.25">
      <c r="A51" s="474" t="s">
        <v>790</v>
      </c>
      <c r="B51" s="475" t="s">
        <v>667</v>
      </c>
      <c r="C51" s="476" t="s">
        <v>130</v>
      </c>
      <c r="D51" s="301" t="s">
        <v>1113</v>
      </c>
      <c r="E51" s="464" t="s">
        <v>1114</v>
      </c>
      <c r="F51" s="547"/>
      <c r="G51" s="560" t="s">
        <v>314</v>
      </c>
      <c r="H51" s="548">
        <v>1349.6</v>
      </c>
      <c r="I51" s="559" t="s">
        <v>314</v>
      </c>
      <c r="J51" s="559" t="s">
        <v>314</v>
      </c>
      <c r="K51" s="559" t="s">
        <v>314</v>
      </c>
      <c r="L51" s="559" t="s">
        <v>314</v>
      </c>
      <c r="M51" s="548">
        <v>241.12</v>
      </c>
      <c r="N51" s="559" t="s">
        <v>314</v>
      </c>
      <c r="O51" s="548">
        <f>273.82+505.73+47</f>
        <v>826.55</v>
      </c>
      <c r="P51" s="548">
        <v>369.75</v>
      </c>
      <c r="Q51" s="548">
        <f>47</f>
        <v>47</v>
      </c>
      <c r="R51" s="548">
        <v>198.68</v>
      </c>
      <c r="S51" s="360">
        <f t="shared" si="2"/>
        <v>3032.6999999999994</v>
      </c>
      <c r="T51" s="361">
        <f t="shared" ref="T51:T82" ca="1" si="6">U51-$AE$3</f>
        <v>-2592</v>
      </c>
      <c r="U51" s="303">
        <v>41790</v>
      </c>
      <c r="V51" s="359" t="s">
        <v>1254</v>
      </c>
      <c r="W51" s="549" t="s">
        <v>1371</v>
      </c>
      <c r="X51" s="550"/>
      <c r="Y51" s="550"/>
      <c r="Z51" s="550"/>
      <c r="AA51" s="550"/>
      <c r="AB51" s="550"/>
      <c r="AC51" s="306"/>
      <c r="AD51" s="307">
        <v>41061</v>
      </c>
      <c r="AE51" s="363">
        <f t="shared" ca="1" si="5"/>
        <v>1495</v>
      </c>
      <c r="AF51" s="474" t="s">
        <v>1295</v>
      </c>
    </row>
    <row r="52" spans="1:33" s="1" customFormat="1" ht="39" thickBot="1" x14ac:dyDescent="0.25">
      <c r="A52" s="474" t="s">
        <v>790</v>
      </c>
      <c r="B52" s="475" t="s">
        <v>667</v>
      </c>
      <c r="C52" s="476" t="s">
        <v>130</v>
      </c>
      <c r="D52" s="281" t="s">
        <v>1116</v>
      </c>
      <c r="E52" s="464" t="s">
        <v>1114</v>
      </c>
      <c r="F52" s="551"/>
      <c r="G52" s="559" t="s">
        <v>314</v>
      </c>
      <c r="H52" s="559" t="s">
        <v>314</v>
      </c>
      <c r="I52" s="552">
        <v>2402.91</v>
      </c>
      <c r="J52" s="559" t="s">
        <v>314</v>
      </c>
      <c r="K52" s="559" t="s">
        <v>314</v>
      </c>
      <c r="L52" s="559" t="s">
        <v>314</v>
      </c>
      <c r="M52" s="559" t="s">
        <v>314</v>
      </c>
      <c r="N52" s="552">
        <v>168.06</v>
      </c>
      <c r="O52" s="552">
        <v>94</v>
      </c>
      <c r="P52" s="552">
        <v>124</v>
      </c>
      <c r="Q52" s="559" t="s">
        <v>314</v>
      </c>
      <c r="R52" s="559" t="s">
        <v>314</v>
      </c>
      <c r="S52" s="360">
        <f t="shared" si="2"/>
        <v>2788.97</v>
      </c>
      <c r="T52" s="361">
        <f t="shared" ca="1" si="6"/>
        <v>-2592</v>
      </c>
      <c r="U52" s="303">
        <v>41790</v>
      </c>
      <c r="V52" s="359" t="s">
        <v>1254</v>
      </c>
      <c r="W52" s="549" t="s">
        <v>1363</v>
      </c>
      <c r="X52" s="553"/>
      <c r="Y52" s="553"/>
      <c r="Z52" s="553"/>
      <c r="AA52" s="553"/>
      <c r="AB52" s="553"/>
      <c r="AC52" s="306"/>
      <c r="AD52" s="307">
        <v>41061</v>
      </c>
      <c r="AE52" s="363">
        <f t="shared" ca="1" si="5"/>
        <v>1495</v>
      </c>
      <c r="AF52" s="474" t="s">
        <v>1295</v>
      </c>
    </row>
    <row r="53" spans="1:33" s="1" customFormat="1" ht="39" thickBot="1" x14ac:dyDescent="0.25">
      <c r="A53" s="474" t="s">
        <v>790</v>
      </c>
      <c r="B53" s="475" t="s">
        <v>667</v>
      </c>
      <c r="C53" s="476" t="s">
        <v>130</v>
      </c>
      <c r="D53" s="301" t="s">
        <v>1117</v>
      </c>
      <c r="E53" s="464" t="s">
        <v>1114</v>
      </c>
      <c r="F53" s="551"/>
      <c r="G53" s="559" t="s">
        <v>314</v>
      </c>
      <c r="H53" s="552">
        <v>1489.53</v>
      </c>
      <c r="I53" s="559" t="s">
        <v>314</v>
      </c>
      <c r="J53" s="559" t="s">
        <v>314</v>
      </c>
      <c r="K53" s="559" t="s">
        <v>314</v>
      </c>
      <c r="L53" s="559" t="s">
        <v>314</v>
      </c>
      <c r="M53" s="559" t="s">
        <v>314</v>
      </c>
      <c r="N53" s="559" t="s">
        <v>314</v>
      </c>
      <c r="O53" s="559" t="s">
        <v>314</v>
      </c>
      <c r="P53" s="559" t="s">
        <v>314</v>
      </c>
      <c r="Q53" s="559" t="s">
        <v>314</v>
      </c>
      <c r="R53" s="559" t="s">
        <v>314</v>
      </c>
      <c r="S53" s="360">
        <f t="shared" si="2"/>
        <v>1489.53</v>
      </c>
      <c r="T53" s="361">
        <f t="shared" ca="1" si="6"/>
        <v>-2592</v>
      </c>
      <c r="U53" s="303">
        <v>41790</v>
      </c>
      <c r="V53" s="359" t="s">
        <v>1254</v>
      </c>
      <c r="W53" s="549" t="s">
        <v>1364</v>
      </c>
      <c r="X53" s="553"/>
      <c r="Y53" s="553"/>
      <c r="Z53" s="553"/>
      <c r="AA53" s="553"/>
      <c r="AB53" s="553"/>
      <c r="AC53" s="306"/>
      <c r="AD53" s="307">
        <v>41061</v>
      </c>
      <c r="AE53" s="363">
        <f t="shared" ca="1" si="5"/>
        <v>1495</v>
      </c>
      <c r="AF53" s="474" t="s">
        <v>1295</v>
      </c>
    </row>
    <row r="54" spans="1:33" s="1" customFormat="1" ht="39" thickBot="1" x14ac:dyDescent="0.25">
      <c r="A54" s="474" t="s">
        <v>790</v>
      </c>
      <c r="B54" s="475" t="s">
        <v>667</v>
      </c>
      <c r="C54" s="476" t="s">
        <v>130</v>
      </c>
      <c r="D54" s="301" t="s">
        <v>1118</v>
      </c>
      <c r="E54" s="464" t="s">
        <v>1114</v>
      </c>
      <c r="F54" s="551"/>
      <c r="G54" s="559" t="s">
        <v>314</v>
      </c>
      <c r="H54" s="559" t="s">
        <v>314</v>
      </c>
      <c r="I54" s="552">
        <v>1802.51</v>
      </c>
      <c r="J54" s="561" t="s">
        <v>314</v>
      </c>
      <c r="K54" s="561" t="s">
        <v>314</v>
      </c>
      <c r="L54" s="561" t="s">
        <v>314</v>
      </c>
      <c r="M54" s="561" t="s">
        <v>314</v>
      </c>
      <c r="N54" s="561" t="s">
        <v>314</v>
      </c>
      <c r="O54" s="561" t="s">
        <v>314</v>
      </c>
      <c r="P54" s="561" t="s">
        <v>314</v>
      </c>
      <c r="Q54" s="559" t="s">
        <v>314</v>
      </c>
      <c r="R54" s="559" t="s">
        <v>314</v>
      </c>
      <c r="S54" s="360">
        <f t="shared" si="2"/>
        <v>1802.51</v>
      </c>
      <c r="T54" s="361">
        <f t="shared" ca="1" si="6"/>
        <v>-2592</v>
      </c>
      <c r="U54" s="303">
        <v>41790</v>
      </c>
      <c r="V54" s="359" t="s">
        <v>1254</v>
      </c>
      <c r="W54" s="549" t="s">
        <v>1368</v>
      </c>
      <c r="X54" s="553"/>
      <c r="Y54" s="553"/>
      <c r="Z54" s="553"/>
      <c r="AA54" s="553"/>
      <c r="AB54" s="553"/>
      <c r="AC54" s="306"/>
      <c r="AD54" s="307">
        <v>41061</v>
      </c>
      <c r="AE54" s="363">
        <f t="shared" ca="1" si="5"/>
        <v>1495</v>
      </c>
      <c r="AF54" s="474" t="s">
        <v>1295</v>
      </c>
    </row>
    <row r="55" spans="1:33" s="1" customFormat="1" ht="39" thickBot="1" x14ac:dyDescent="0.25">
      <c r="A55" s="474" t="s">
        <v>790</v>
      </c>
      <c r="B55" s="475" t="s">
        <v>667</v>
      </c>
      <c r="C55" s="476" t="s">
        <v>130</v>
      </c>
      <c r="D55" s="477" t="s">
        <v>1119</v>
      </c>
      <c r="E55" s="464" t="s">
        <v>1114</v>
      </c>
      <c r="F55" s="482"/>
      <c r="G55" s="558" t="s">
        <v>314</v>
      </c>
      <c r="H55" s="558">
        <v>0</v>
      </c>
      <c r="I55" s="481">
        <v>209.92</v>
      </c>
      <c r="J55" s="558" t="s">
        <v>314</v>
      </c>
      <c r="K55" s="481">
        <v>1504.22</v>
      </c>
      <c r="L55" s="558" t="s">
        <v>314</v>
      </c>
      <c r="M55" s="558" t="s">
        <v>314</v>
      </c>
      <c r="N55" s="481">
        <v>25.75</v>
      </c>
      <c r="O55" s="558" t="s">
        <v>314</v>
      </c>
      <c r="P55" s="558" t="s">
        <v>314</v>
      </c>
      <c r="Q55" s="558" t="s">
        <v>314</v>
      </c>
      <c r="R55" s="481">
        <v>9507.6200000000008</v>
      </c>
      <c r="S55" s="360">
        <f t="shared" si="2"/>
        <v>11247.51</v>
      </c>
      <c r="T55" s="361">
        <f t="shared" ca="1" si="6"/>
        <v>-2592</v>
      </c>
      <c r="U55" s="303">
        <v>41790</v>
      </c>
      <c r="V55" s="359" t="s">
        <v>1256</v>
      </c>
      <c r="W55" s="549" t="s">
        <v>1318</v>
      </c>
      <c r="X55" s="479"/>
      <c r="Y55" s="479"/>
      <c r="Z55" s="479"/>
      <c r="AA55" s="479"/>
      <c r="AB55" s="479"/>
      <c r="AC55" s="306"/>
      <c r="AD55" s="307">
        <v>41061</v>
      </c>
      <c r="AE55" s="363">
        <f t="shared" ca="1" si="5"/>
        <v>1495</v>
      </c>
      <c r="AF55" s="474" t="s">
        <v>1295</v>
      </c>
    </row>
    <row r="56" spans="1:33" s="1" customFormat="1" ht="39" thickBot="1" x14ac:dyDescent="0.25">
      <c r="A56" s="474" t="s">
        <v>790</v>
      </c>
      <c r="B56" s="485" t="s">
        <v>667</v>
      </c>
      <c r="C56" s="476" t="s">
        <v>130</v>
      </c>
      <c r="D56" s="340" t="s">
        <v>1121</v>
      </c>
      <c r="E56" s="464" t="s">
        <v>1114</v>
      </c>
      <c r="F56" s="482"/>
      <c r="G56" s="481">
        <f>479.64+1429.86</f>
        <v>1909.5</v>
      </c>
      <c r="H56" s="558" t="s">
        <v>314</v>
      </c>
      <c r="I56" s="558" t="s">
        <v>314</v>
      </c>
      <c r="J56" s="481">
        <v>311.70999999999998</v>
      </c>
      <c r="K56" s="481">
        <v>3737.48</v>
      </c>
      <c r="L56" s="558" t="s">
        <v>314</v>
      </c>
      <c r="M56" s="481">
        <v>217.71</v>
      </c>
      <c r="N56" s="481">
        <f>3218.32+73.85+57+931.37+517.59+448.27+47</f>
        <v>5293.4</v>
      </c>
      <c r="O56" s="481">
        <v>171.63</v>
      </c>
      <c r="P56" s="481">
        <v>121.28</v>
      </c>
      <c r="Q56" s="481">
        <v>181.09</v>
      </c>
      <c r="R56" s="481"/>
      <c r="S56" s="360">
        <f t="shared" si="2"/>
        <v>11943.8</v>
      </c>
      <c r="T56" s="361">
        <f t="shared" ca="1" si="6"/>
        <v>-2592</v>
      </c>
      <c r="U56" s="303">
        <v>41790</v>
      </c>
      <c r="V56" s="359" t="s">
        <v>1254</v>
      </c>
      <c r="W56" s="549" t="s">
        <v>1367</v>
      </c>
      <c r="X56" s="479"/>
      <c r="Y56" s="479"/>
      <c r="Z56" s="479"/>
      <c r="AA56" s="479"/>
      <c r="AB56" s="479"/>
      <c r="AC56" s="306"/>
      <c r="AD56" s="307">
        <v>41061</v>
      </c>
      <c r="AE56" s="363">
        <f t="shared" ca="1" si="5"/>
        <v>1495</v>
      </c>
      <c r="AF56" s="474" t="s">
        <v>1295</v>
      </c>
    </row>
    <row r="57" spans="1:33" s="541" customFormat="1" ht="39" thickBot="1" x14ac:dyDescent="0.25">
      <c r="A57" s="474" t="s">
        <v>790</v>
      </c>
      <c r="B57" s="485" t="s">
        <v>667</v>
      </c>
      <c r="C57" s="476" t="s">
        <v>130</v>
      </c>
      <c r="D57" s="340" t="s">
        <v>1120</v>
      </c>
      <c r="E57" s="464" t="s">
        <v>1114</v>
      </c>
      <c r="F57" s="482"/>
      <c r="G57" s="558" t="s">
        <v>314</v>
      </c>
      <c r="H57" s="558" t="s">
        <v>314</v>
      </c>
      <c r="I57" s="558" t="s">
        <v>314</v>
      </c>
      <c r="J57" s="558" t="s">
        <v>314</v>
      </c>
      <c r="K57" s="481">
        <v>2584.6999999999998</v>
      </c>
      <c r="L57" s="558" t="s">
        <v>314</v>
      </c>
      <c r="M57" s="558" t="s">
        <v>314</v>
      </c>
      <c r="N57" s="558" t="s">
        <v>314</v>
      </c>
      <c r="O57" s="558" t="s">
        <v>314</v>
      </c>
      <c r="P57" s="558" t="s">
        <v>314</v>
      </c>
      <c r="Q57" s="558" t="s">
        <v>314</v>
      </c>
      <c r="R57" s="558" t="s">
        <v>314</v>
      </c>
      <c r="S57" s="360">
        <f t="shared" si="2"/>
        <v>2584.6999999999998</v>
      </c>
      <c r="T57" s="361">
        <f t="shared" ca="1" si="6"/>
        <v>-2592</v>
      </c>
      <c r="U57" s="303">
        <v>41790</v>
      </c>
      <c r="V57" s="359" t="s">
        <v>1254</v>
      </c>
      <c r="W57" s="549" t="s">
        <v>1370</v>
      </c>
      <c r="X57" s="479"/>
      <c r="Y57" s="479"/>
      <c r="Z57" s="479"/>
      <c r="AA57" s="479"/>
      <c r="AB57" s="479"/>
      <c r="AC57" s="306"/>
      <c r="AD57" s="307">
        <v>41061</v>
      </c>
      <c r="AE57" s="363">
        <f t="shared" ca="1" si="5"/>
        <v>1495</v>
      </c>
      <c r="AF57" s="474" t="s">
        <v>1295</v>
      </c>
    </row>
    <row r="58" spans="1:33" s="541" customFormat="1" ht="39" thickBot="1" x14ac:dyDescent="0.25">
      <c r="A58" s="474" t="s">
        <v>790</v>
      </c>
      <c r="B58" s="485" t="s">
        <v>667</v>
      </c>
      <c r="C58" s="476" t="s">
        <v>130</v>
      </c>
      <c r="D58" s="340" t="s">
        <v>1122</v>
      </c>
      <c r="E58" s="464" t="s">
        <v>1114</v>
      </c>
      <c r="F58" s="482"/>
      <c r="G58" s="558" t="s">
        <v>314</v>
      </c>
      <c r="H58" s="558" t="s">
        <v>314</v>
      </c>
      <c r="I58" s="558" t="s">
        <v>314</v>
      </c>
      <c r="J58" s="558" t="s">
        <v>314</v>
      </c>
      <c r="K58" s="558" t="s">
        <v>314</v>
      </c>
      <c r="L58" s="481">
        <v>3555.62</v>
      </c>
      <c r="M58" s="558" t="s">
        <v>314</v>
      </c>
      <c r="N58" s="558" t="s">
        <v>314</v>
      </c>
      <c r="O58" s="558" t="s">
        <v>314</v>
      </c>
      <c r="P58" s="481">
        <v>250</v>
      </c>
      <c r="Q58" s="558" t="s">
        <v>314</v>
      </c>
      <c r="R58" s="558" t="s">
        <v>314</v>
      </c>
      <c r="S58" s="360">
        <f t="shared" ref="S58:S64" si="7">SUM(G58:R58)</f>
        <v>3805.62</v>
      </c>
      <c r="T58" s="361">
        <f t="shared" ca="1" si="6"/>
        <v>-2592</v>
      </c>
      <c r="U58" s="303">
        <v>41790</v>
      </c>
      <c r="V58" s="359" t="s">
        <v>1254</v>
      </c>
      <c r="W58" s="549" t="s">
        <v>1369</v>
      </c>
      <c r="X58" s="479"/>
      <c r="Y58" s="479"/>
      <c r="Z58" s="479"/>
      <c r="AA58" s="479"/>
      <c r="AB58" s="479"/>
      <c r="AC58" s="306"/>
      <c r="AD58" s="307">
        <v>41061</v>
      </c>
      <c r="AE58" s="363">
        <f t="shared" ca="1" si="5"/>
        <v>1495</v>
      </c>
      <c r="AF58" s="474" t="s">
        <v>1295</v>
      </c>
      <c r="AG58" s="1"/>
    </row>
    <row r="59" spans="1:33" s="541" customFormat="1" ht="39" thickBot="1" x14ac:dyDescent="0.25">
      <c r="A59" s="474" t="s">
        <v>790</v>
      </c>
      <c r="B59" s="485" t="s">
        <v>667</v>
      </c>
      <c r="C59" s="476" t="s">
        <v>130</v>
      </c>
      <c r="D59" s="340" t="s">
        <v>1123</v>
      </c>
      <c r="E59" s="464" t="s">
        <v>1114</v>
      </c>
      <c r="F59" s="482"/>
      <c r="G59" s="558" t="s">
        <v>314</v>
      </c>
      <c r="H59" s="558" t="s">
        <v>314</v>
      </c>
      <c r="I59" s="481">
        <v>1002.24</v>
      </c>
      <c r="J59" s="481">
        <v>359.2</v>
      </c>
      <c r="K59" s="558" t="s">
        <v>314</v>
      </c>
      <c r="L59" s="558" t="s">
        <v>314</v>
      </c>
      <c r="M59" s="558" t="s">
        <v>314</v>
      </c>
      <c r="N59" s="558" t="s">
        <v>314</v>
      </c>
      <c r="O59" s="558" t="s">
        <v>314</v>
      </c>
      <c r="P59" s="558" t="s">
        <v>314</v>
      </c>
      <c r="Q59" s="558" t="s">
        <v>314</v>
      </c>
      <c r="R59" s="481">
        <f>1243.55+376.88</f>
        <v>1620.4299999999998</v>
      </c>
      <c r="S59" s="360">
        <f t="shared" si="7"/>
        <v>2981.87</v>
      </c>
      <c r="T59" s="361">
        <f t="shared" ca="1" si="6"/>
        <v>-2592</v>
      </c>
      <c r="U59" s="303">
        <v>41790</v>
      </c>
      <c r="V59" s="359" t="s">
        <v>1254</v>
      </c>
      <c r="W59" s="549" t="s">
        <v>1365</v>
      </c>
      <c r="X59" s="479"/>
      <c r="Y59" s="479"/>
      <c r="Z59" s="479"/>
      <c r="AA59" s="479"/>
      <c r="AB59" s="479"/>
      <c r="AC59" s="306"/>
      <c r="AD59" s="307">
        <v>41061</v>
      </c>
      <c r="AE59" s="363">
        <f t="shared" ca="1" si="5"/>
        <v>1495</v>
      </c>
      <c r="AF59" s="474" t="s">
        <v>1295</v>
      </c>
    </row>
    <row r="60" spans="1:33" s="541" customFormat="1" ht="39" thickBot="1" x14ac:dyDescent="0.25">
      <c r="A60" s="474" t="s">
        <v>790</v>
      </c>
      <c r="B60" s="485" t="s">
        <v>667</v>
      </c>
      <c r="C60" s="476" t="s">
        <v>130</v>
      </c>
      <c r="D60" s="340" t="s">
        <v>1124</v>
      </c>
      <c r="E60" s="464" t="s">
        <v>1114</v>
      </c>
      <c r="F60" s="482"/>
      <c r="G60" s="558" t="s">
        <v>314</v>
      </c>
      <c r="H60" s="558" t="s">
        <v>314</v>
      </c>
      <c r="I60" s="558" t="s">
        <v>314</v>
      </c>
      <c r="J60" s="558" t="s">
        <v>314</v>
      </c>
      <c r="K60" s="558" t="s">
        <v>314</v>
      </c>
      <c r="L60" s="558" t="s">
        <v>314</v>
      </c>
      <c r="M60" s="558" t="s">
        <v>314</v>
      </c>
      <c r="N60" s="558" t="s">
        <v>314</v>
      </c>
      <c r="O60" s="558" t="s">
        <v>314</v>
      </c>
      <c r="P60" s="481">
        <v>10042.700000000001</v>
      </c>
      <c r="Q60" s="481">
        <f>216.81+40391.15</f>
        <v>40607.96</v>
      </c>
      <c r="R60" s="481">
        <v>2187.2800000000002</v>
      </c>
      <c r="S60" s="360">
        <f t="shared" si="7"/>
        <v>52837.94</v>
      </c>
      <c r="T60" s="361">
        <f t="shared" ca="1" si="6"/>
        <v>-2592</v>
      </c>
      <c r="U60" s="303">
        <v>41790</v>
      </c>
      <c r="V60" s="359" t="s">
        <v>1254</v>
      </c>
      <c r="W60" s="549" t="s">
        <v>1366</v>
      </c>
      <c r="X60" s="479"/>
      <c r="Y60" s="479"/>
      <c r="Z60" s="479"/>
      <c r="AA60" s="479"/>
      <c r="AB60" s="479"/>
      <c r="AC60" s="306"/>
      <c r="AD60" s="307">
        <v>41061</v>
      </c>
      <c r="AE60" s="363">
        <f t="shared" ca="1" si="5"/>
        <v>1495</v>
      </c>
      <c r="AF60" s="474" t="s">
        <v>1295</v>
      </c>
    </row>
    <row r="61" spans="1:33" s="541" customFormat="1" ht="39" thickBot="1" x14ac:dyDescent="0.25">
      <c r="A61" s="474" t="s">
        <v>790</v>
      </c>
      <c r="B61" s="485" t="s">
        <v>667</v>
      </c>
      <c r="C61" s="476" t="s">
        <v>130</v>
      </c>
      <c r="D61" s="340" t="s">
        <v>1125</v>
      </c>
      <c r="E61" s="464" t="s">
        <v>1114</v>
      </c>
      <c r="F61" s="482"/>
      <c r="G61" s="558" t="s">
        <v>314</v>
      </c>
      <c r="H61" s="558" t="s">
        <v>314</v>
      </c>
      <c r="I61" s="558" t="s">
        <v>314</v>
      </c>
      <c r="J61" s="558" t="s">
        <v>314</v>
      </c>
      <c r="K61" s="558" t="s">
        <v>314</v>
      </c>
      <c r="L61" s="481">
        <v>2888.3</v>
      </c>
      <c r="M61" s="558" t="s">
        <v>314</v>
      </c>
      <c r="N61" s="481">
        <v>1311.38</v>
      </c>
      <c r="O61" s="558" t="s">
        <v>314</v>
      </c>
      <c r="P61" s="558" t="s">
        <v>314</v>
      </c>
      <c r="Q61" s="558" t="s">
        <v>314</v>
      </c>
      <c r="R61" s="481">
        <f>888.73+478.76</f>
        <v>1367.49</v>
      </c>
      <c r="S61" s="360">
        <f t="shared" si="7"/>
        <v>5567.17</v>
      </c>
      <c r="T61" s="361">
        <f t="shared" ca="1" si="6"/>
        <v>-2957</v>
      </c>
      <c r="U61" s="303">
        <v>41425</v>
      </c>
      <c r="V61" s="359" t="s">
        <v>1115</v>
      </c>
      <c r="W61" s="549" t="s">
        <v>1372</v>
      </c>
      <c r="X61" s="479"/>
      <c r="Y61" s="479"/>
      <c r="Z61" s="479"/>
      <c r="AA61" s="479"/>
      <c r="AB61" s="479"/>
      <c r="AC61" s="306">
        <v>41430</v>
      </c>
      <c r="AD61" s="307">
        <v>41061</v>
      </c>
      <c r="AE61" s="363">
        <f t="shared" ca="1" si="5"/>
        <v>1495</v>
      </c>
      <c r="AF61" s="474" t="s">
        <v>1295</v>
      </c>
    </row>
    <row r="62" spans="1:33" s="541" customFormat="1" ht="39" thickBot="1" x14ac:dyDescent="0.25">
      <c r="A62" s="474" t="s">
        <v>1126</v>
      </c>
      <c r="B62" s="299" t="s">
        <v>1353</v>
      </c>
      <c r="C62" s="299" t="s">
        <v>56</v>
      </c>
      <c r="D62" s="301" t="s">
        <v>1127</v>
      </c>
      <c r="E62" s="464" t="s">
        <v>1128</v>
      </c>
      <c r="F62" s="482">
        <v>6972.6</v>
      </c>
      <c r="G62" s="545">
        <v>487.2</v>
      </c>
      <c r="H62" s="558" t="s">
        <v>314</v>
      </c>
      <c r="I62" s="481">
        <f>573.2+615.8</f>
        <v>1189</v>
      </c>
      <c r="J62" s="481">
        <v>508.2</v>
      </c>
      <c r="K62" s="481">
        <v>834</v>
      </c>
      <c r="L62" s="481">
        <v>829</v>
      </c>
      <c r="M62" s="481">
        <v>839.8</v>
      </c>
      <c r="N62" s="481">
        <v>551.4</v>
      </c>
      <c r="O62" s="481">
        <v>599.79999999999995</v>
      </c>
      <c r="P62" s="481">
        <v>583.20000000000005</v>
      </c>
      <c r="Q62" s="481">
        <v>584</v>
      </c>
      <c r="R62" s="481">
        <v>532.4</v>
      </c>
      <c r="S62" s="360">
        <f t="shared" si="7"/>
        <v>7537.9999999999991</v>
      </c>
      <c r="T62" s="361">
        <f t="shared" ca="1" si="6"/>
        <v>-2571</v>
      </c>
      <c r="U62" s="303">
        <v>41811</v>
      </c>
      <c r="V62" s="359" t="s">
        <v>1360</v>
      </c>
      <c r="W62" s="362" t="s">
        <v>750</v>
      </c>
      <c r="X62" s="479"/>
      <c r="Y62" s="479"/>
      <c r="Z62" s="479"/>
      <c r="AA62" s="479"/>
      <c r="AB62" s="479"/>
      <c r="AC62" s="306"/>
      <c r="AD62" s="307">
        <v>41082</v>
      </c>
      <c r="AE62" s="363">
        <f t="shared" ca="1" si="5"/>
        <v>1474</v>
      </c>
      <c r="AF62" s="474" t="s">
        <v>96</v>
      </c>
    </row>
    <row r="63" spans="1:33" ht="26.25" thickBot="1" x14ac:dyDescent="0.25">
      <c r="A63" s="474" t="s">
        <v>1130</v>
      </c>
      <c r="B63" s="485" t="s">
        <v>23</v>
      </c>
      <c r="C63" s="299" t="s">
        <v>56</v>
      </c>
      <c r="D63" s="301" t="s">
        <v>1134</v>
      </c>
      <c r="E63" s="464" t="s">
        <v>1144</v>
      </c>
      <c r="F63" s="482">
        <f>48220+8020</f>
        <v>56240</v>
      </c>
      <c r="G63" s="481">
        <f>4010+293.87</f>
        <v>4303.87</v>
      </c>
      <c r="H63" s="481">
        <f>4010+319.68</f>
        <v>4329.68</v>
      </c>
      <c r="I63" s="481">
        <f>4010+366.26</f>
        <v>4376.26</v>
      </c>
      <c r="J63" s="481">
        <f>4010+390.78</f>
        <v>4400.78</v>
      </c>
      <c r="K63" s="481">
        <f>4010+354.19</f>
        <v>4364.1899999999996</v>
      </c>
      <c r="L63" s="481">
        <f>4010+357.59</f>
        <v>4367.59</v>
      </c>
      <c r="M63" s="481">
        <f>4010+301.19</f>
        <v>4311.1899999999996</v>
      </c>
      <c r="N63" s="481">
        <f>4010+282.29</f>
        <v>4292.29</v>
      </c>
      <c r="O63" s="481">
        <f>4010+292.25</f>
        <v>4302.25</v>
      </c>
      <c r="P63" s="481">
        <f>4010+251.44</f>
        <v>4261.4399999999996</v>
      </c>
      <c r="Q63" s="481">
        <v>3631.06</v>
      </c>
      <c r="R63" s="558" t="s">
        <v>314</v>
      </c>
      <c r="S63" s="284">
        <f t="shared" si="7"/>
        <v>46940.6</v>
      </c>
      <c r="T63" s="274">
        <f t="shared" ca="1" si="6"/>
        <v>-2813</v>
      </c>
      <c r="U63" s="303">
        <v>41569</v>
      </c>
      <c r="V63" s="304" t="s">
        <v>1456</v>
      </c>
      <c r="W63" s="315" t="s">
        <v>1393</v>
      </c>
      <c r="X63" s="479"/>
      <c r="Y63" s="479"/>
      <c r="Z63" s="479"/>
      <c r="AA63" s="479"/>
      <c r="AB63" s="479"/>
      <c r="AC63" s="306">
        <v>41578</v>
      </c>
      <c r="AD63" s="307">
        <v>41144</v>
      </c>
      <c r="AE63" s="278">
        <f t="shared" ca="1" si="5"/>
        <v>1412</v>
      </c>
      <c r="AF63" s="474" t="s">
        <v>41</v>
      </c>
      <c r="AG63" s="541"/>
    </row>
    <row r="64" spans="1:33" s="541" customFormat="1" ht="39" thickBot="1" x14ac:dyDescent="0.25">
      <c r="A64" s="474" t="s">
        <v>1132</v>
      </c>
      <c r="B64" s="299" t="s">
        <v>1353</v>
      </c>
      <c r="C64" s="299" t="s">
        <v>56</v>
      </c>
      <c r="D64" s="301" t="s">
        <v>1136</v>
      </c>
      <c r="E64" s="464" t="s">
        <v>1137</v>
      </c>
      <c r="F64" s="482">
        <v>13700</v>
      </c>
      <c r="G64" s="559" t="s">
        <v>314</v>
      </c>
      <c r="H64" s="559" t="s">
        <v>314</v>
      </c>
      <c r="I64" s="559" t="s">
        <v>314</v>
      </c>
      <c r="J64" s="559" t="s">
        <v>314</v>
      </c>
      <c r="K64" s="481">
        <v>2740</v>
      </c>
      <c r="L64" s="559" t="s">
        <v>314</v>
      </c>
      <c r="M64" s="559" t="s">
        <v>314</v>
      </c>
      <c r="N64" s="559" t="s">
        <v>314</v>
      </c>
      <c r="O64" s="559" t="s">
        <v>314</v>
      </c>
      <c r="P64" s="559" t="s">
        <v>314</v>
      </c>
      <c r="Q64" s="559" t="s">
        <v>314</v>
      </c>
      <c r="R64" s="559" t="s">
        <v>314</v>
      </c>
      <c r="S64" s="284">
        <f t="shared" si="7"/>
        <v>2740</v>
      </c>
      <c r="T64" s="274">
        <f t="shared" ca="1" si="6"/>
        <v>-2888</v>
      </c>
      <c r="U64" s="303">
        <v>41494</v>
      </c>
      <c r="V64" s="304" t="s">
        <v>1138</v>
      </c>
      <c r="W64" s="362" t="s">
        <v>1392</v>
      </c>
      <c r="X64" s="479"/>
      <c r="Y64" s="479"/>
      <c r="Z64" s="479"/>
      <c r="AA64" s="479"/>
      <c r="AB64" s="479"/>
      <c r="AC64" s="306">
        <v>41578</v>
      </c>
      <c r="AD64" s="307">
        <v>41130</v>
      </c>
      <c r="AE64" s="278">
        <f t="shared" ca="1" si="5"/>
        <v>1426</v>
      </c>
      <c r="AF64" s="474" t="s">
        <v>41</v>
      </c>
    </row>
    <row r="65" spans="1:32" s="541" customFormat="1" ht="51.75" thickBot="1" x14ac:dyDescent="0.25">
      <c r="A65" s="299" t="s">
        <v>1155</v>
      </c>
      <c r="B65" s="299" t="s">
        <v>1154</v>
      </c>
      <c r="C65" s="299" t="s">
        <v>613</v>
      </c>
      <c r="D65" s="301" t="s">
        <v>1050</v>
      </c>
      <c r="E65" s="301" t="s">
        <v>1209</v>
      </c>
      <c r="F65" s="302">
        <v>86250</v>
      </c>
      <c r="G65" s="360">
        <v>6250</v>
      </c>
      <c r="H65" s="360">
        <v>6250</v>
      </c>
      <c r="I65" s="559" t="s">
        <v>314</v>
      </c>
      <c r="J65" s="360">
        <f>6250+6250</f>
        <v>12500</v>
      </c>
      <c r="K65" s="360">
        <v>6250</v>
      </c>
      <c r="L65" s="360">
        <v>6250</v>
      </c>
      <c r="M65" s="360">
        <v>6250</v>
      </c>
      <c r="N65" s="360">
        <v>6250</v>
      </c>
      <c r="O65" s="360">
        <v>7187.5</v>
      </c>
      <c r="P65" s="559" t="s">
        <v>314</v>
      </c>
      <c r="Q65" s="360">
        <v>7187.5</v>
      </c>
      <c r="R65" s="360">
        <v>7187.5</v>
      </c>
      <c r="S65" s="360">
        <f t="shared" ref="S65:S102" si="8">SUM(G65:R65)</f>
        <v>71562.5</v>
      </c>
      <c r="T65" s="361">
        <f t="shared" ca="1" si="6"/>
        <v>-2515</v>
      </c>
      <c r="U65" s="303">
        <v>41867</v>
      </c>
      <c r="V65" s="359" t="s">
        <v>1284</v>
      </c>
      <c r="W65" s="362" t="s">
        <v>731</v>
      </c>
      <c r="X65" s="305"/>
      <c r="Y65" s="305"/>
      <c r="Z65" s="305"/>
      <c r="AA65" s="305"/>
      <c r="AB65" s="305"/>
      <c r="AC65" s="306"/>
      <c r="AD65" s="307">
        <v>41138</v>
      </c>
      <c r="AE65" s="363">
        <f ca="1">TODAY()-DATE(YEAR(AD65)+6,MONTH(AD65),DAY(AD65))</f>
        <v>1053</v>
      </c>
      <c r="AF65" s="299" t="s">
        <v>169</v>
      </c>
    </row>
    <row r="66" spans="1:32" s="541" customFormat="1" ht="24.75" customHeight="1" thickBot="1" x14ac:dyDescent="0.25">
      <c r="A66" s="299" t="s">
        <v>215</v>
      </c>
      <c r="B66" s="299" t="s">
        <v>23</v>
      </c>
      <c r="C66" s="299" t="s">
        <v>24</v>
      </c>
      <c r="D66" s="301" t="s">
        <v>216</v>
      </c>
      <c r="E66" s="301" t="s">
        <v>1389</v>
      </c>
      <c r="F66" s="302" t="s">
        <v>375</v>
      </c>
      <c r="G66" s="558" t="s">
        <v>314</v>
      </c>
      <c r="H66" s="284">
        <v>19.5</v>
      </c>
      <c r="I66" s="559" t="s">
        <v>314</v>
      </c>
      <c r="J66" s="558" t="s">
        <v>314</v>
      </c>
      <c r="K66" s="558" t="s">
        <v>314</v>
      </c>
      <c r="L66" s="284">
        <v>13</v>
      </c>
      <c r="M66" s="544">
        <v>341.9</v>
      </c>
      <c r="N66" s="558" t="s">
        <v>314</v>
      </c>
      <c r="O66" s="360">
        <v>1249.3</v>
      </c>
      <c r="P66" s="558" t="s">
        <v>314</v>
      </c>
      <c r="Q66" s="284">
        <f>2044.9+881.4</f>
        <v>2926.3</v>
      </c>
      <c r="R66" s="559" t="s">
        <v>314</v>
      </c>
      <c r="S66" s="284">
        <f t="shared" si="8"/>
        <v>4550</v>
      </c>
      <c r="T66" s="274">
        <f t="shared" ca="1" si="6"/>
        <v>-1353</v>
      </c>
      <c r="U66" s="303">
        <v>43029</v>
      </c>
      <c r="V66" s="304" t="s">
        <v>1157</v>
      </c>
      <c r="W66" s="362" t="s">
        <v>757</v>
      </c>
      <c r="X66" s="305"/>
      <c r="Y66" s="305"/>
      <c r="Z66" s="305"/>
      <c r="AA66" s="305"/>
      <c r="AB66" s="305"/>
      <c r="AC66" s="306"/>
      <c r="AD66" s="307">
        <v>41204</v>
      </c>
      <c r="AE66" s="278">
        <f ca="1">TODAY()-DATE(YEAR(AD66)+6,MONTH(AD66),DAY(AD66))</f>
        <v>987</v>
      </c>
      <c r="AF66" s="299" t="s">
        <v>169</v>
      </c>
    </row>
    <row r="67" spans="1:32" s="541" customFormat="1" ht="39" thickBot="1" x14ac:dyDescent="0.25">
      <c r="A67" s="299" t="s">
        <v>1158</v>
      </c>
      <c r="B67" s="299" t="s">
        <v>590</v>
      </c>
      <c r="C67" s="299"/>
      <c r="D67" s="301" t="s">
        <v>1423</v>
      </c>
      <c r="E67" s="301" t="s">
        <v>1160</v>
      </c>
      <c r="F67" s="302">
        <v>13598.16</v>
      </c>
      <c r="G67" s="360">
        <v>2012.33</v>
      </c>
      <c r="H67" s="360">
        <v>1579.01</v>
      </c>
      <c r="I67" s="559" t="s">
        <v>314</v>
      </c>
      <c r="J67" s="360">
        <f>1265.15+1538.85</f>
        <v>2804</v>
      </c>
      <c r="K67" s="360">
        <v>1556.71</v>
      </c>
      <c r="L67" s="545">
        <v>1031.8800000000001</v>
      </c>
      <c r="M67" s="360">
        <v>1373.14</v>
      </c>
      <c r="N67" s="360">
        <v>1553.88</v>
      </c>
      <c r="O67" s="360">
        <v>1591.16</v>
      </c>
      <c r="P67" s="360">
        <v>1694.56</v>
      </c>
      <c r="Q67" s="558" t="s">
        <v>314</v>
      </c>
      <c r="R67" s="360">
        <v>3122.6</v>
      </c>
      <c r="S67" s="360">
        <f t="shared" si="8"/>
        <v>18319.27</v>
      </c>
      <c r="T67" s="361">
        <f t="shared" ca="1" si="6"/>
        <v>-2466</v>
      </c>
      <c r="U67" s="303">
        <v>41916</v>
      </c>
      <c r="V67" s="304" t="s">
        <v>1413</v>
      </c>
      <c r="W67" s="362" t="s">
        <v>1394</v>
      </c>
      <c r="X67" s="305"/>
      <c r="Y67" s="305"/>
      <c r="Z67" s="305"/>
      <c r="AA67" s="305"/>
      <c r="AB67" s="305"/>
      <c r="AC67" s="306"/>
      <c r="AD67" s="307">
        <v>41186</v>
      </c>
      <c r="AE67" s="363">
        <f t="shared" ref="AE67:AE102" ca="1" si="9">TODAY()-DATE(YEAR(AD67)+6,MONTH(AD67),DAY(AD67))</f>
        <v>1005</v>
      </c>
      <c r="AF67" s="299" t="s">
        <v>48</v>
      </c>
    </row>
    <row r="68" spans="1:32" s="541" customFormat="1" ht="39" thickBot="1" x14ac:dyDescent="0.25">
      <c r="A68" s="299" t="s">
        <v>1162</v>
      </c>
      <c r="B68" s="299" t="s">
        <v>23</v>
      </c>
      <c r="C68" s="299"/>
      <c r="D68" s="301" t="s">
        <v>1163</v>
      </c>
      <c r="E68" s="301" t="s">
        <v>1164</v>
      </c>
      <c r="F68" s="302">
        <v>1382.4</v>
      </c>
      <c r="G68" s="559" t="s">
        <v>314</v>
      </c>
      <c r="H68" s="559" t="s">
        <v>314</v>
      </c>
      <c r="I68" s="559" t="s">
        <v>314</v>
      </c>
      <c r="J68" s="559" t="s">
        <v>314</v>
      </c>
      <c r="K68" s="559" t="s">
        <v>314</v>
      </c>
      <c r="L68" s="559" t="s">
        <v>314</v>
      </c>
      <c r="M68" s="559" t="s">
        <v>314</v>
      </c>
      <c r="N68" s="559" t="s">
        <v>314</v>
      </c>
      <c r="O68" s="559" t="s">
        <v>314</v>
      </c>
      <c r="P68" s="559" t="s">
        <v>314</v>
      </c>
      <c r="Q68" s="559" t="s">
        <v>314</v>
      </c>
      <c r="R68" s="559" t="s">
        <v>314</v>
      </c>
      <c r="S68" s="360">
        <f t="shared" si="8"/>
        <v>0</v>
      </c>
      <c r="T68" s="361">
        <f t="shared" ca="1" si="6"/>
        <v>-2825</v>
      </c>
      <c r="U68" s="303">
        <v>41557</v>
      </c>
      <c r="V68" s="359" t="s">
        <v>1165</v>
      </c>
      <c r="W68" s="362" t="s">
        <v>1395</v>
      </c>
      <c r="X68" s="305"/>
      <c r="Y68" s="305"/>
      <c r="Z68" s="305"/>
      <c r="AA68" s="305"/>
      <c r="AB68" s="305"/>
      <c r="AC68" s="306">
        <v>41512</v>
      </c>
      <c r="AD68" s="307">
        <v>41193</v>
      </c>
      <c r="AE68" s="363">
        <f t="shared" ca="1" si="9"/>
        <v>998</v>
      </c>
      <c r="AF68" s="299" t="s">
        <v>48</v>
      </c>
    </row>
    <row r="69" spans="1:32" s="541" customFormat="1" ht="102.75" thickBot="1" x14ac:dyDescent="0.25">
      <c r="A69" s="299" t="s">
        <v>1166</v>
      </c>
      <c r="B69" s="299" t="s">
        <v>23</v>
      </c>
      <c r="C69" s="299"/>
      <c r="D69" s="301" t="s">
        <v>1167</v>
      </c>
      <c r="E69" s="301" t="s">
        <v>1168</v>
      </c>
      <c r="F69" s="302">
        <v>12279</v>
      </c>
      <c r="G69" s="284" t="s">
        <v>1407</v>
      </c>
      <c r="H69" s="360"/>
      <c r="I69" s="360"/>
      <c r="J69" s="360"/>
      <c r="K69" s="360"/>
      <c r="L69" s="360"/>
      <c r="M69" s="360"/>
      <c r="N69" s="360"/>
      <c r="O69" s="360"/>
      <c r="P69" s="360"/>
      <c r="Q69" s="360"/>
      <c r="R69" s="360"/>
      <c r="S69" s="360">
        <f t="shared" si="8"/>
        <v>0</v>
      </c>
      <c r="T69" s="361">
        <f t="shared" ca="1" si="6"/>
        <v>-2825</v>
      </c>
      <c r="U69" s="303">
        <v>41557</v>
      </c>
      <c r="V69" s="359" t="s">
        <v>1165</v>
      </c>
      <c r="W69" s="362" t="s">
        <v>1396</v>
      </c>
      <c r="X69" s="305"/>
      <c r="Y69" s="305"/>
      <c r="Z69" s="305"/>
      <c r="AA69" s="305"/>
      <c r="AB69" s="305"/>
      <c r="AC69" s="306">
        <v>41512</v>
      </c>
      <c r="AD69" s="307">
        <v>41193</v>
      </c>
      <c r="AE69" s="363">
        <f t="shared" ca="1" si="9"/>
        <v>998</v>
      </c>
      <c r="AF69" s="299" t="s">
        <v>48</v>
      </c>
    </row>
    <row r="70" spans="1:32" s="541" customFormat="1" ht="39" thickBot="1" x14ac:dyDescent="0.25">
      <c r="A70" s="299" t="s">
        <v>1170</v>
      </c>
      <c r="B70" s="299" t="s">
        <v>1374</v>
      </c>
      <c r="C70" s="299"/>
      <c r="D70" s="301" t="s">
        <v>1171</v>
      </c>
      <c r="E70" s="301" t="s">
        <v>1172</v>
      </c>
      <c r="F70" s="302">
        <v>8718.36</v>
      </c>
      <c r="G70" s="360">
        <v>687.43</v>
      </c>
      <c r="H70" s="360">
        <v>687.43</v>
      </c>
      <c r="I70" s="360">
        <v>687.43</v>
      </c>
      <c r="J70" s="360">
        <v>687.43</v>
      </c>
      <c r="K70" s="360">
        <v>687.43</v>
      </c>
      <c r="L70" s="360">
        <v>687.43</v>
      </c>
      <c r="M70" s="360">
        <v>687.43</v>
      </c>
      <c r="N70" s="360">
        <v>687.43</v>
      </c>
      <c r="O70" s="360">
        <v>687.43</v>
      </c>
      <c r="P70" s="360">
        <v>687.43</v>
      </c>
      <c r="Q70" s="559" t="s">
        <v>314</v>
      </c>
      <c r="R70" s="360">
        <f>675.93+726.53</f>
        <v>1402.46</v>
      </c>
      <c r="S70" s="360">
        <f t="shared" si="8"/>
        <v>8276.760000000002</v>
      </c>
      <c r="T70" s="361">
        <f t="shared" ca="1" si="6"/>
        <v>-2448</v>
      </c>
      <c r="U70" s="303">
        <v>41934</v>
      </c>
      <c r="V70" s="304" t="s">
        <v>1424</v>
      </c>
      <c r="W70" s="362" t="s">
        <v>740</v>
      </c>
      <c r="X70" s="305"/>
      <c r="Y70" s="305"/>
      <c r="Z70" s="305"/>
      <c r="AA70" s="305"/>
      <c r="AB70" s="305"/>
      <c r="AC70" s="306"/>
      <c r="AD70" s="307">
        <v>41204</v>
      </c>
      <c r="AE70" s="363">
        <f t="shared" ca="1" si="9"/>
        <v>987</v>
      </c>
      <c r="AF70" s="299" t="s">
        <v>48</v>
      </c>
    </row>
    <row r="71" spans="1:32" s="541" customFormat="1" ht="51.75" thickBot="1" x14ac:dyDescent="0.25">
      <c r="A71" s="299" t="s">
        <v>1174</v>
      </c>
      <c r="B71" s="299" t="s">
        <v>23</v>
      </c>
      <c r="C71" s="299"/>
      <c r="D71" s="301" t="s">
        <v>1175</v>
      </c>
      <c r="E71" s="301" t="s">
        <v>1176</v>
      </c>
      <c r="F71" s="302">
        <v>131897.70000000001</v>
      </c>
      <c r="G71" s="360">
        <f>3322.48+4289.82</f>
        <v>7612.2999999999993</v>
      </c>
      <c r="H71" s="360">
        <v>7076.43</v>
      </c>
      <c r="I71" s="360">
        <v>2539.09</v>
      </c>
      <c r="J71" s="360">
        <f>2774.55+5847.77</f>
        <v>8622.32</v>
      </c>
      <c r="K71" s="360">
        <f>4798.73+3946.16</f>
        <v>8744.89</v>
      </c>
      <c r="L71" s="559" t="s">
        <v>314</v>
      </c>
      <c r="M71" s="360">
        <f>5995.07+3663.01</f>
        <v>9658.08</v>
      </c>
      <c r="N71" s="360">
        <f>3303.57+3003</f>
        <v>6306.57</v>
      </c>
      <c r="O71" s="360">
        <v>6140.77</v>
      </c>
      <c r="P71" s="360">
        <f>3549.92+3080.32</f>
        <v>6630.24</v>
      </c>
      <c r="Q71" s="360">
        <f>5105.93+1829</f>
        <v>6934.93</v>
      </c>
      <c r="R71" s="360">
        <f>1294.37+8206.18</f>
        <v>9500.5499999999993</v>
      </c>
      <c r="S71" s="360">
        <f t="shared" si="8"/>
        <v>79766.17</v>
      </c>
      <c r="T71" s="361">
        <f t="shared" ca="1" si="6"/>
        <v>-2441</v>
      </c>
      <c r="U71" s="303">
        <v>41941</v>
      </c>
      <c r="V71" s="304" t="s">
        <v>1425</v>
      </c>
      <c r="W71" s="362" t="s">
        <v>1397</v>
      </c>
      <c r="X71" s="305"/>
      <c r="Y71" s="305"/>
      <c r="Z71" s="305"/>
      <c r="AA71" s="305"/>
      <c r="AB71" s="305"/>
      <c r="AC71" s="306"/>
      <c r="AD71" s="307">
        <v>41212</v>
      </c>
      <c r="AE71" s="363">
        <f t="shared" ca="1" si="9"/>
        <v>979</v>
      </c>
      <c r="AF71" s="299" t="s">
        <v>48</v>
      </c>
    </row>
    <row r="72" spans="1:32" s="541" customFormat="1" ht="39" thickBot="1" x14ac:dyDescent="0.25">
      <c r="A72" s="299" t="s">
        <v>790</v>
      </c>
      <c r="B72" s="299" t="s">
        <v>23</v>
      </c>
      <c r="C72" s="299" t="s">
        <v>130</v>
      </c>
      <c r="D72" s="301" t="s">
        <v>1181</v>
      </c>
      <c r="E72" s="301" t="s">
        <v>1182</v>
      </c>
      <c r="F72" s="302" t="s">
        <v>314</v>
      </c>
      <c r="G72" s="559" t="s">
        <v>314</v>
      </c>
      <c r="H72" s="559" t="s">
        <v>314</v>
      </c>
      <c r="I72" s="559" t="s">
        <v>314</v>
      </c>
      <c r="J72" s="559" t="s">
        <v>314</v>
      </c>
      <c r="K72" s="360">
        <v>4849.82</v>
      </c>
      <c r="L72" s="559" t="s">
        <v>314</v>
      </c>
      <c r="M72" s="559" t="s">
        <v>314</v>
      </c>
      <c r="N72" s="559" t="s">
        <v>314</v>
      </c>
      <c r="O72" s="360">
        <v>8188.18</v>
      </c>
      <c r="P72" s="559" t="s">
        <v>314</v>
      </c>
      <c r="Q72" s="559" t="s">
        <v>314</v>
      </c>
      <c r="R72" s="559" t="s">
        <v>314</v>
      </c>
      <c r="S72" s="360">
        <f t="shared" si="8"/>
        <v>13038</v>
      </c>
      <c r="T72" s="361">
        <f t="shared" ca="1" si="6"/>
        <v>-2821</v>
      </c>
      <c r="U72" s="303">
        <v>41561</v>
      </c>
      <c r="V72" s="359" t="s">
        <v>1183</v>
      </c>
      <c r="W72" s="362" t="s">
        <v>1398</v>
      </c>
      <c r="X72" s="305"/>
      <c r="Y72" s="305"/>
      <c r="Z72" s="305"/>
      <c r="AA72" s="305"/>
      <c r="AB72" s="305"/>
      <c r="AC72" s="306">
        <v>41512</v>
      </c>
      <c r="AD72" s="307">
        <v>41197</v>
      </c>
      <c r="AE72" s="363">
        <f t="shared" ca="1" si="9"/>
        <v>994</v>
      </c>
      <c r="AF72" s="299" t="s">
        <v>201</v>
      </c>
    </row>
    <row r="73" spans="1:32" s="541" customFormat="1" ht="39" thickBot="1" x14ac:dyDescent="0.25">
      <c r="A73" s="299" t="s">
        <v>1186</v>
      </c>
      <c r="B73" s="299" t="s">
        <v>1374</v>
      </c>
      <c r="C73" s="299"/>
      <c r="D73" s="301" t="s">
        <v>973</v>
      </c>
      <c r="E73" s="301" t="s">
        <v>1187</v>
      </c>
      <c r="F73" s="302">
        <v>6890</v>
      </c>
      <c r="G73" s="559" t="s">
        <v>314</v>
      </c>
      <c r="H73" s="559" t="s">
        <v>314</v>
      </c>
      <c r="I73" s="559" t="s">
        <v>314</v>
      </c>
      <c r="J73" s="559" t="s">
        <v>314</v>
      </c>
      <c r="K73" s="559" t="s">
        <v>314</v>
      </c>
      <c r="L73" s="559" t="s">
        <v>314</v>
      </c>
      <c r="M73" s="559" t="s">
        <v>314</v>
      </c>
      <c r="N73" s="559" t="s">
        <v>314</v>
      </c>
      <c r="O73" s="559" t="s">
        <v>314</v>
      </c>
      <c r="P73" s="559" t="s">
        <v>314</v>
      </c>
      <c r="Q73" s="559" t="s">
        <v>314</v>
      </c>
      <c r="R73" s="559" t="s">
        <v>314</v>
      </c>
      <c r="S73" s="360">
        <f t="shared" si="8"/>
        <v>0</v>
      </c>
      <c r="T73" s="361">
        <f t="shared" ca="1" si="6"/>
        <v>-2835</v>
      </c>
      <c r="U73" s="303">
        <v>41547</v>
      </c>
      <c r="V73" s="304" t="s">
        <v>1500</v>
      </c>
      <c r="W73" s="362" t="s">
        <v>948</v>
      </c>
      <c r="X73" s="305"/>
      <c r="Y73" s="305"/>
      <c r="Z73" s="305"/>
      <c r="AA73" s="305"/>
      <c r="AB73" s="305"/>
      <c r="AC73" s="546" t="s">
        <v>1435</v>
      </c>
      <c r="AD73" s="307">
        <v>41222</v>
      </c>
      <c r="AE73" s="363">
        <f t="shared" ca="1" si="9"/>
        <v>969</v>
      </c>
      <c r="AF73" s="299" t="s">
        <v>1348</v>
      </c>
    </row>
    <row r="74" spans="1:32" s="541" customFormat="1" ht="51.75" thickBot="1" x14ac:dyDescent="0.25">
      <c r="A74" s="299" t="s">
        <v>1388</v>
      </c>
      <c r="B74" s="299"/>
      <c r="C74" s="299" t="s">
        <v>372</v>
      </c>
      <c r="D74" s="301" t="s">
        <v>1191</v>
      </c>
      <c r="E74" s="301" t="s">
        <v>1192</v>
      </c>
      <c r="F74" s="302"/>
      <c r="G74" s="559" t="s">
        <v>314</v>
      </c>
      <c r="H74" s="559" t="s">
        <v>314</v>
      </c>
      <c r="I74" s="559" t="s">
        <v>314</v>
      </c>
      <c r="J74" s="559" t="s">
        <v>314</v>
      </c>
      <c r="K74" s="559" t="s">
        <v>314</v>
      </c>
      <c r="L74" s="559" t="s">
        <v>314</v>
      </c>
      <c r="M74" s="559" t="s">
        <v>314</v>
      </c>
      <c r="N74" s="559" t="s">
        <v>314</v>
      </c>
      <c r="O74" s="559" t="s">
        <v>314</v>
      </c>
      <c r="P74" s="559" t="s">
        <v>314</v>
      </c>
      <c r="Q74" s="559" t="s">
        <v>314</v>
      </c>
      <c r="R74" s="559" t="s">
        <v>314</v>
      </c>
      <c r="S74" s="284">
        <f t="shared" si="8"/>
        <v>0</v>
      </c>
      <c r="T74" s="274">
        <f t="shared" ca="1" si="6"/>
        <v>-2880</v>
      </c>
      <c r="U74" s="303">
        <v>41502</v>
      </c>
      <c r="V74" s="304" t="s">
        <v>1193</v>
      </c>
      <c r="W74" s="362"/>
      <c r="X74" s="305"/>
      <c r="Y74" s="305"/>
      <c r="Z74" s="305"/>
      <c r="AA74" s="305"/>
      <c r="AB74" s="305"/>
      <c r="AC74" s="546" t="s">
        <v>1430</v>
      </c>
      <c r="AD74" s="307">
        <v>41137</v>
      </c>
      <c r="AE74" s="278">
        <f t="shared" ca="1" si="9"/>
        <v>1054</v>
      </c>
      <c r="AF74" s="299" t="s">
        <v>96</v>
      </c>
    </row>
    <row r="75" spans="1:32" s="541" customFormat="1" ht="39" thickBot="1" x14ac:dyDescent="0.25">
      <c r="A75" s="299" t="s">
        <v>1198</v>
      </c>
      <c r="B75" s="299" t="s">
        <v>1353</v>
      </c>
      <c r="C75" s="299" t="s">
        <v>61</v>
      </c>
      <c r="D75" s="301" t="s">
        <v>83</v>
      </c>
      <c r="E75" s="301" t="s">
        <v>1199</v>
      </c>
      <c r="F75" s="302">
        <v>9360</v>
      </c>
      <c r="G75" s="559" t="s">
        <v>314</v>
      </c>
      <c r="H75" s="360">
        <v>530.4</v>
      </c>
      <c r="I75" s="360">
        <v>561.6</v>
      </c>
      <c r="J75" s="360">
        <v>785.2</v>
      </c>
      <c r="K75" s="360">
        <v>832</v>
      </c>
      <c r="L75" s="360">
        <v>811.2</v>
      </c>
      <c r="M75" s="284">
        <v>660.4</v>
      </c>
      <c r="N75" s="284">
        <v>639.6</v>
      </c>
      <c r="O75" s="284">
        <v>868.4</v>
      </c>
      <c r="P75" s="284">
        <v>852.8</v>
      </c>
      <c r="Q75" s="360">
        <v>738.4</v>
      </c>
      <c r="R75" s="360">
        <v>748.8</v>
      </c>
      <c r="S75" s="360">
        <f t="shared" si="8"/>
        <v>8028.7999999999993</v>
      </c>
      <c r="T75" s="361">
        <f t="shared" ca="1" si="6"/>
        <v>-2742</v>
      </c>
      <c r="U75" s="303">
        <v>41640</v>
      </c>
      <c r="V75" s="359" t="s">
        <v>1200</v>
      </c>
      <c r="W75" s="362" t="s">
        <v>730</v>
      </c>
      <c r="X75" s="305"/>
      <c r="Y75" s="305"/>
      <c r="Z75" s="305"/>
      <c r="AA75" s="305"/>
      <c r="AB75" s="305"/>
      <c r="AC75" s="306">
        <v>41578</v>
      </c>
      <c r="AD75" s="307">
        <v>41276</v>
      </c>
      <c r="AE75" s="363">
        <f t="shared" ca="1" si="9"/>
        <v>915</v>
      </c>
      <c r="AF75" s="299" t="s">
        <v>48</v>
      </c>
    </row>
    <row r="76" spans="1:32" s="541" customFormat="1" ht="26.25" thickBot="1" x14ac:dyDescent="0.25">
      <c r="A76" s="299" t="s">
        <v>1201</v>
      </c>
      <c r="B76" s="399" t="s">
        <v>1321</v>
      </c>
      <c r="C76" s="299" t="s">
        <v>617</v>
      </c>
      <c r="D76" s="399" t="s">
        <v>1202</v>
      </c>
      <c r="E76" s="301" t="s">
        <v>1203</v>
      </c>
      <c r="F76" s="302">
        <v>20000</v>
      </c>
      <c r="G76" s="563" t="s">
        <v>314</v>
      </c>
      <c r="H76" s="563" t="s">
        <v>314</v>
      </c>
      <c r="I76" s="544">
        <v>5893.54</v>
      </c>
      <c r="J76" s="563" t="s">
        <v>314</v>
      </c>
      <c r="K76" s="563" t="s">
        <v>314</v>
      </c>
      <c r="L76" s="360">
        <f>5173+3413.46</f>
        <v>8586.4599999999991</v>
      </c>
      <c r="M76" s="360">
        <v>460</v>
      </c>
      <c r="N76" s="360">
        <v>460</v>
      </c>
      <c r="O76" s="360">
        <v>460</v>
      </c>
      <c r="P76" s="360">
        <v>460</v>
      </c>
      <c r="Q76" s="360">
        <v>460</v>
      </c>
      <c r="R76" s="360">
        <v>460</v>
      </c>
      <c r="S76" s="360">
        <f t="shared" si="8"/>
        <v>17240</v>
      </c>
      <c r="T76" s="361">
        <f t="shared" ca="1" si="6"/>
        <v>-2716</v>
      </c>
      <c r="U76" s="303">
        <v>41666</v>
      </c>
      <c r="V76" s="359" t="s">
        <v>1204</v>
      </c>
      <c r="W76" s="362" t="s">
        <v>1322</v>
      </c>
      <c r="X76" s="305"/>
      <c r="Y76" s="305"/>
      <c r="Z76" s="305"/>
      <c r="AA76" s="305"/>
      <c r="AB76" s="305"/>
      <c r="AC76" s="306">
        <v>41621</v>
      </c>
      <c r="AD76" s="307">
        <v>41302</v>
      </c>
      <c r="AE76" s="363">
        <f t="shared" ca="1" si="9"/>
        <v>889</v>
      </c>
      <c r="AF76" s="299" t="s">
        <v>96</v>
      </c>
    </row>
    <row r="77" spans="1:32" s="541" customFormat="1" ht="39" thickBot="1" x14ac:dyDescent="0.25">
      <c r="A77" s="299" t="s">
        <v>1205</v>
      </c>
      <c r="B77" s="299" t="s">
        <v>1323</v>
      </c>
      <c r="C77" s="299" t="s">
        <v>37</v>
      </c>
      <c r="D77" s="301" t="s">
        <v>1206</v>
      </c>
      <c r="E77" s="301" t="s">
        <v>1207</v>
      </c>
      <c r="F77" s="302" t="s">
        <v>1325</v>
      </c>
      <c r="G77" s="559" t="s">
        <v>314</v>
      </c>
      <c r="H77" s="559" t="s">
        <v>314</v>
      </c>
      <c r="I77" s="360">
        <f>13338.99+33958.44</f>
        <v>47297.43</v>
      </c>
      <c r="J77" s="360">
        <v>21891.49</v>
      </c>
      <c r="K77" s="360">
        <f>38717.3+37943.06</f>
        <v>76660.36</v>
      </c>
      <c r="L77" s="559" t="s">
        <v>314</v>
      </c>
      <c r="M77" s="559" t="s">
        <v>314</v>
      </c>
      <c r="N77" s="559" t="s">
        <v>314</v>
      </c>
      <c r="O77" s="559" t="s">
        <v>314</v>
      </c>
      <c r="P77" s="559" t="s">
        <v>314</v>
      </c>
      <c r="Q77" s="559" t="s">
        <v>314</v>
      </c>
      <c r="R77" s="559" t="s">
        <v>314</v>
      </c>
      <c r="S77" s="360">
        <f>SUM(G77:R77)</f>
        <v>145849.28</v>
      </c>
      <c r="T77" s="361">
        <f t="shared" ca="1" si="6"/>
        <v>-2957</v>
      </c>
      <c r="U77" s="303">
        <v>41425</v>
      </c>
      <c r="V77" s="359" t="s">
        <v>1235</v>
      </c>
      <c r="W77" s="362" t="s">
        <v>1324</v>
      </c>
      <c r="X77" s="305"/>
      <c r="Y77" s="305"/>
      <c r="Z77" s="305"/>
      <c r="AA77" s="305"/>
      <c r="AB77" s="305"/>
      <c r="AC77" s="306">
        <v>41578</v>
      </c>
      <c r="AD77" s="307">
        <v>41306</v>
      </c>
      <c r="AE77" s="363">
        <f t="shared" ca="1" si="9"/>
        <v>885</v>
      </c>
      <c r="AF77" s="299" t="s">
        <v>48</v>
      </c>
    </row>
    <row r="78" spans="1:32" s="541" customFormat="1" ht="39" thickBot="1" x14ac:dyDescent="0.25">
      <c r="A78" s="299" t="s">
        <v>1215</v>
      </c>
      <c r="B78" s="299"/>
      <c r="C78" s="299"/>
      <c r="D78" s="301" t="s">
        <v>935</v>
      </c>
      <c r="E78" s="301" t="s">
        <v>1216</v>
      </c>
      <c r="F78" s="302" t="s">
        <v>1217</v>
      </c>
      <c r="G78" s="559" t="s">
        <v>314</v>
      </c>
      <c r="H78" s="559" t="s">
        <v>314</v>
      </c>
      <c r="I78" s="559" t="s">
        <v>314</v>
      </c>
      <c r="J78" s="559" t="s">
        <v>314</v>
      </c>
      <c r="K78" s="559" t="s">
        <v>314</v>
      </c>
      <c r="L78" s="559" t="s">
        <v>314</v>
      </c>
      <c r="M78" s="559" t="s">
        <v>314</v>
      </c>
      <c r="N78" s="559" t="s">
        <v>314</v>
      </c>
      <c r="O78" s="284">
        <v>15880</v>
      </c>
      <c r="P78" s="559" t="s">
        <v>314</v>
      </c>
      <c r="Q78" s="559" t="s">
        <v>314</v>
      </c>
      <c r="R78" s="559" t="s">
        <v>314</v>
      </c>
      <c r="S78" s="284">
        <f t="shared" si="8"/>
        <v>15880</v>
      </c>
      <c r="T78" s="274">
        <f t="shared" ca="1" si="6"/>
        <v>-2999</v>
      </c>
      <c r="U78" s="303">
        <v>41383</v>
      </c>
      <c r="V78" s="304" t="s">
        <v>1221</v>
      </c>
      <c r="W78" s="362" t="s">
        <v>997</v>
      </c>
      <c r="X78" s="305"/>
      <c r="Y78" s="305"/>
      <c r="Z78" s="305"/>
      <c r="AA78" s="305"/>
      <c r="AB78" s="305"/>
      <c r="AC78" s="306">
        <v>41582</v>
      </c>
      <c r="AD78" s="307">
        <v>41262</v>
      </c>
      <c r="AE78" s="278">
        <f t="shared" ca="1" si="9"/>
        <v>929</v>
      </c>
      <c r="AF78" s="299" t="s">
        <v>96</v>
      </c>
    </row>
    <row r="79" spans="1:32" s="541" customFormat="1" ht="39" thickBot="1" x14ac:dyDescent="0.25">
      <c r="A79" s="299" t="s">
        <v>1326</v>
      </c>
      <c r="B79" s="299" t="s">
        <v>1353</v>
      </c>
      <c r="C79" s="299"/>
      <c r="D79" s="301" t="s">
        <v>1219</v>
      </c>
      <c r="E79" s="301" t="s">
        <v>1220</v>
      </c>
      <c r="F79" s="302">
        <v>6680</v>
      </c>
      <c r="G79" s="559" t="s">
        <v>314</v>
      </c>
      <c r="H79" s="559" t="s">
        <v>314</v>
      </c>
      <c r="I79" s="360">
        <f>6680+360</f>
        <v>7040</v>
      </c>
      <c r="J79" s="284">
        <v>3990</v>
      </c>
      <c r="K79" s="559" t="s">
        <v>314</v>
      </c>
      <c r="L79" s="559" t="s">
        <v>314</v>
      </c>
      <c r="M79" s="360">
        <v>1230</v>
      </c>
      <c r="N79" s="559" t="s">
        <v>314</v>
      </c>
      <c r="O79" s="559" t="s">
        <v>314</v>
      </c>
      <c r="P79" s="559" t="s">
        <v>314</v>
      </c>
      <c r="Q79" s="559" t="s">
        <v>314</v>
      </c>
      <c r="R79" s="559" t="s">
        <v>314</v>
      </c>
      <c r="S79" s="360">
        <f t="shared" si="8"/>
        <v>12260</v>
      </c>
      <c r="T79" s="361">
        <f t="shared" ca="1" si="6"/>
        <v>-3022</v>
      </c>
      <c r="U79" s="303">
        <v>41360</v>
      </c>
      <c r="V79" s="359" t="s">
        <v>1222</v>
      </c>
      <c r="W79" s="362" t="s">
        <v>1327</v>
      </c>
      <c r="X79" s="305"/>
      <c r="Y79" s="305"/>
      <c r="Z79" s="305"/>
      <c r="AA79" s="305"/>
      <c r="AB79" s="305"/>
      <c r="AC79" s="306">
        <v>41578</v>
      </c>
      <c r="AD79" s="307">
        <v>41332</v>
      </c>
      <c r="AE79" s="363">
        <f t="shared" ca="1" si="9"/>
        <v>859</v>
      </c>
      <c r="AF79" s="299" t="s">
        <v>48</v>
      </c>
    </row>
    <row r="80" spans="1:32" s="541" customFormat="1" ht="39" thickBot="1" x14ac:dyDescent="0.25">
      <c r="A80" s="299" t="s">
        <v>1328</v>
      </c>
      <c r="B80" s="299" t="s">
        <v>1353</v>
      </c>
      <c r="C80" s="299"/>
      <c r="D80" s="301" t="s">
        <v>1224</v>
      </c>
      <c r="E80" s="301" t="s">
        <v>1225</v>
      </c>
      <c r="F80" s="302">
        <v>6922.5</v>
      </c>
      <c r="G80" s="559" t="s">
        <v>314</v>
      </c>
      <c r="H80" s="559" t="s">
        <v>314</v>
      </c>
      <c r="I80" s="360">
        <f>1554.35+6992.5</f>
        <v>8546.85</v>
      </c>
      <c r="J80" s="360">
        <v>2071</v>
      </c>
      <c r="K80" s="360">
        <v>765.2</v>
      </c>
      <c r="L80" s="559" t="s">
        <v>314</v>
      </c>
      <c r="M80" s="559" t="s">
        <v>314</v>
      </c>
      <c r="N80" s="559" t="s">
        <v>314</v>
      </c>
      <c r="O80" s="559" t="s">
        <v>314</v>
      </c>
      <c r="P80" s="545">
        <v>2650.15</v>
      </c>
      <c r="Q80" s="559" t="s">
        <v>314</v>
      </c>
      <c r="R80" s="559" t="s">
        <v>314</v>
      </c>
      <c r="S80" s="360">
        <f t="shared" si="8"/>
        <v>14033.2</v>
      </c>
      <c r="T80" s="361">
        <f t="shared" ca="1" si="6"/>
        <v>-3039</v>
      </c>
      <c r="U80" s="303">
        <v>41343</v>
      </c>
      <c r="V80" s="359" t="s">
        <v>1226</v>
      </c>
      <c r="W80" s="362" t="s">
        <v>1329</v>
      </c>
      <c r="X80" s="305"/>
      <c r="Y80" s="305"/>
      <c r="Z80" s="305"/>
      <c r="AA80" s="305"/>
      <c r="AB80" s="305"/>
      <c r="AC80" s="306">
        <v>41578</v>
      </c>
      <c r="AD80" s="307">
        <v>41333</v>
      </c>
      <c r="AE80" s="363">
        <f t="shared" ca="1" si="9"/>
        <v>858</v>
      </c>
      <c r="AF80" s="299" t="s">
        <v>48</v>
      </c>
    </row>
    <row r="81" spans="1:32" s="541" customFormat="1" ht="26.25" thickBot="1" x14ac:dyDescent="0.25">
      <c r="A81" s="299" t="s">
        <v>1391</v>
      </c>
      <c r="B81" s="299"/>
      <c r="C81" s="299"/>
      <c r="D81" s="301" t="s">
        <v>1228</v>
      </c>
      <c r="E81" s="301" t="s">
        <v>1229</v>
      </c>
      <c r="F81" s="302">
        <v>4788</v>
      </c>
      <c r="G81" s="563" t="s">
        <v>314</v>
      </c>
      <c r="H81" s="544">
        <f>399+249</f>
        <v>648</v>
      </c>
      <c r="I81" s="360">
        <v>24.1</v>
      </c>
      <c r="J81" s="360">
        <v>40</v>
      </c>
      <c r="K81" s="563" t="s">
        <v>314</v>
      </c>
      <c r="L81" s="360">
        <v>798</v>
      </c>
      <c r="M81" s="563" t="s">
        <v>314</v>
      </c>
      <c r="N81" s="563" t="s">
        <v>314</v>
      </c>
      <c r="O81" s="544">
        <v>399</v>
      </c>
      <c r="P81" s="563" t="s">
        <v>314</v>
      </c>
      <c r="Q81" s="360">
        <v>798</v>
      </c>
      <c r="R81" s="360">
        <f>399+399+399+399</f>
        <v>1596</v>
      </c>
      <c r="S81" s="360">
        <f t="shared" si="8"/>
        <v>4303.1000000000004</v>
      </c>
      <c r="T81" s="361">
        <f t="shared" ca="1" si="6"/>
        <v>-2690</v>
      </c>
      <c r="U81" s="303">
        <v>41692</v>
      </c>
      <c r="V81" s="359" t="s">
        <v>1230</v>
      </c>
      <c r="W81" s="362"/>
      <c r="X81" s="305"/>
      <c r="Y81" s="305"/>
      <c r="Z81" s="305"/>
      <c r="AA81" s="305"/>
      <c r="AB81" s="305"/>
      <c r="AC81" s="306">
        <v>41667</v>
      </c>
      <c r="AD81" s="307">
        <v>41327</v>
      </c>
      <c r="AE81" s="363">
        <f t="shared" ca="1" si="9"/>
        <v>864</v>
      </c>
      <c r="AF81" s="299" t="s">
        <v>41</v>
      </c>
    </row>
    <row r="82" spans="1:32" s="541" customFormat="1" ht="26.25" thickBot="1" x14ac:dyDescent="0.25">
      <c r="A82" s="299" t="s">
        <v>1241</v>
      </c>
      <c r="B82" s="299" t="s">
        <v>1334</v>
      </c>
      <c r="C82" s="299"/>
      <c r="D82" s="301" t="s">
        <v>1242</v>
      </c>
      <c r="E82" s="301" t="s">
        <v>1243</v>
      </c>
      <c r="F82" s="302">
        <v>70000</v>
      </c>
      <c r="G82" s="559" t="s">
        <v>314</v>
      </c>
      <c r="H82" s="559" t="s">
        <v>314</v>
      </c>
      <c r="I82" s="559" t="s">
        <v>314</v>
      </c>
      <c r="J82" s="360">
        <v>35000</v>
      </c>
      <c r="K82" s="559" t="s">
        <v>314</v>
      </c>
      <c r="L82" s="559" t="s">
        <v>314</v>
      </c>
      <c r="M82" s="559" t="s">
        <v>314</v>
      </c>
      <c r="N82" s="559" t="s">
        <v>314</v>
      </c>
      <c r="O82" s="559" t="s">
        <v>314</v>
      </c>
      <c r="P82" s="559" t="s">
        <v>314</v>
      </c>
      <c r="Q82" s="559" t="s">
        <v>314</v>
      </c>
      <c r="R82" s="559" t="s">
        <v>314</v>
      </c>
      <c r="S82" s="360">
        <f t="shared" si="8"/>
        <v>35000</v>
      </c>
      <c r="T82" s="361">
        <f t="shared" ca="1" si="6"/>
        <v>-2959</v>
      </c>
      <c r="U82" s="303">
        <v>41423</v>
      </c>
      <c r="V82" s="359" t="s">
        <v>1244</v>
      </c>
      <c r="W82" s="362" t="s">
        <v>1335</v>
      </c>
      <c r="X82" s="305"/>
      <c r="Y82" s="305"/>
      <c r="Z82" s="305"/>
      <c r="AA82" s="305"/>
      <c r="AB82" s="305"/>
      <c r="AC82" s="306">
        <v>41582</v>
      </c>
      <c r="AD82" s="307">
        <v>41379</v>
      </c>
      <c r="AE82" s="363">
        <f t="shared" ca="1" si="9"/>
        <v>812</v>
      </c>
      <c r="AF82" s="299" t="s">
        <v>1426</v>
      </c>
    </row>
    <row r="83" spans="1:32" s="541" customFormat="1" ht="51.75" thickBot="1" x14ac:dyDescent="0.25">
      <c r="A83" s="299" t="s">
        <v>1332</v>
      </c>
      <c r="B83" s="299" t="s">
        <v>1353</v>
      </c>
      <c r="C83" s="299"/>
      <c r="D83" s="301" t="s">
        <v>194</v>
      </c>
      <c r="E83" s="301" t="s">
        <v>1333</v>
      </c>
      <c r="F83" s="302">
        <v>15600</v>
      </c>
      <c r="G83" s="563" t="s">
        <v>314</v>
      </c>
      <c r="H83" s="563" t="s">
        <v>314</v>
      </c>
      <c r="I83" s="563" t="s">
        <v>314</v>
      </c>
      <c r="J83" s="563" t="s">
        <v>314</v>
      </c>
      <c r="K83" s="563" t="s">
        <v>314</v>
      </c>
      <c r="L83" s="360">
        <v>1300</v>
      </c>
      <c r="M83" s="563" t="s">
        <v>314</v>
      </c>
      <c r="N83" s="360">
        <v>1300</v>
      </c>
      <c r="O83" s="360">
        <v>1300</v>
      </c>
      <c r="P83" s="360">
        <v>1300</v>
      </c>
      <c r="Q83" s="360">
        <v>1300</v>
      </c>
      <c r="R83" s="360">
        <f>1880+1300</f>
        <v>3180</v>
      </c>
      <c r="S83" s="360">
        <f t="shared" si="8"/>
        <v>9680</v>
      </c>
      <c r="T83" s="361">
        <f ca="1">U83-$AE$3</f>
        <v>-2642</v>
      </c>
      <c r="U83" s="303">
        <v>41740</v>
      </c>
      <c r="V83" s="359" t="s">
        <v>1247</v>
      </c>
      <c r="W83" s="362" t="s">
        <v>734</v>
      </c>
      <c r="X83" s="305"/>
      <c r="Y83" s="305"/>
      <c r="Z83" s="305"/>
      <c r="AA83" s="305"/>
      <c r="AB83" s="305"/>
      <c r="AC83" s="306">
        <v>41688</v>
      </c>
      <c r="AD83" s="307">
        <v>41376</v>
      </c>
      <c r="AE83" s="363">
        <f t="shared" ca="1" si="9"/>
        <v>815</v>
      </c>
      <c r="AF83" s="299"/>
    </row>
    <row r="84" spans="1:32" s="541" customFormat="1" ht="39" thickBot="1" x14ac:dyDescent="0.25">
      <c r="A84" s="299" t="s">
        <v>1248</v>
      </c>
      <c r="B84" s="299" t="s">
        <v>1330</v>
      </c>
      <c r="C84" s="299"/>
      <c r="D84" s="301" t="s">
        <v>340</v>
      </c>
      <c r="E84" s="301" t="s">
        <v>1249</v>
      </c>
      <c r="F84" s="302">
        <v>19268.64</v>
      </c>
      <c r="G84" s="563" t="s">
        <v>314</v>
      </c>
      <c r="H84" s="563" t="s">
        <v>314</v>
      </c>
      <c r="I84" s="563" t="s">
        <v>314</v>
      </c>
      <c r="J84" s="360">
        <v>1505.87</v>
      </c>
      <c r="K84" s="563" t="s">
        <v>314</v>
      </c>
      <c r="L84" s="544">
        <v>1605.72</v>
      </c>
      <c r="M84" s="360">
        <v>1605.72</v>
      </c>
      <c r="N84" s="360">
        <v>1605.72</v>
      </c>
      <c r="O84" s="360">
        <v>1605.72</v>
      </c>
      <c r="P84" s="360">
        <v>3211.44</v>
      </c>
      <c r="Q84" s="360">
        <v>1605.72</v>
      </c>
      <c r="R84" s="360">
        <v>1605.72</v>
      </c>
      <c r="S84" s="360">
        <f t="shared" si="8"/>
        <v>14351.63</v>
      </c>
      <c r="T84" s="361">
        <f t="shared" ref="T84:T102" ca="1" si="10">U84-$AE$3</f>
        <v>-2677</v>
      </c>
      <c r="U84" s="303">
        <v>41705</v>
      </c>
      <c r="V84" s="359" t="s">
        <v>1250</v>
      </c>
      <c r="W84" s="362" t="s">
        <v>1331</v>
      </c>
      <c r="X84" s="305"/>
      <c r="Y84" s="305"/>
      <c r="Z84" s="305"/>
      <c r="AA84" s="305"/>
      <c r="AB84" s="305"/>
      <c r="AC84" s="306">
        <v>41667</v>
      </c>
      <c r="AD84" s="307">
        <v>41341</v>
      </c>
      <c r="AE84" s="363">
        <f t="shared" ca="1" si="9"/>
        <v>850</v>
      </c>
      <c r="AF84" s="299"/>
    </row>
    <row r="85" spans="1:32" s="541" customFormat="1" ht="39" thickBot="1" x14ac:dyDescent="0.25">
      <c r="A85" s="299" t="s">
        <v>1319</v>
      </c>
      <c r="B85" s="299" t="s">
        <v>1353</v>
      </c>
      <c r="C85" s="299" t="s">
        <v>56</v>
      </c>
      <c r="D85" s="301" t="s">
        <v>1264</v>
      </c>
      <c r="E85" s="301" t="s">
        <v>1265</v>
      </c>
      <c r="F85" s="302">
        <v>7800</v>
      </c>
      <c r="G85" s="559" t="s">
        <v>314</v>
      </c>
      <c r="H85" s="559" t="s">
        <v>314</v>
      </c>
      <c r="I85" s="559" t="s">
        <v>314</v>
      </c>
      <c r="J85" s="559" t="s">
        <v>314</v>
      </c>
      <c r="K85" s="559" t="s">
        <v>314</v>
      </c>
      <c r="L85" s="559" t="s">
        <v>314</v>
      </c>
      <c r="M85" s="559" t="s">
        <v>314</v>
      </c>
      <c r="N85" s="360">
        <v>650</v>
      </c>
      <c r="O85" s="559" t="s">
        <v>314</v>
      </c>
      <c r="P85" s="360">
        <f>663.8+650</f>
        <v>1313.8</v>
      </c>
      <c r="Q85" s="360">
        <v>650</v>
      </c>
      <c r="R85" s="360">
        <v>650</v>
      </c>
      <c r="S85" s="360">
        <f t="shared" si="8"/>
        <v>3263.8</v>
      </c>
      <c r="T85" s="361">
        <f t="shared" ca="1" si="10"/>
        <v>-2558</v>
      </c>
      <c r="U85" s="303">
        <v>41824</v>
      </c>
      <c r="V85" s="359" t="s">
        <v>1261</v>
      </c>
      <c r="W85" s="362" t="s">
        <v>1320</v>
      </c>
      <c r="X85" s="305"/>
      <c r="Y85" s="305"/>
      <c r="Z85" s="305"/>
      <c r="AA85" s="305"/>
      <c r="AB85" s="305"/>
      <c r="AC85" s="306"/>
      <c r="AD85" s="307">
        <v>41460</v>
      </c>
      <c r="AE85" s="363">
        <f t="shared" ca="1" si="9"/>
        <v>731</v>
      </c>
      <c r="AF85" s="299"/>
    </row>
    <row r="86" spans="1:32" s="541" customFormat="1" ht="26.25" thickBot="1" x14ac:dyDescent="0.25">
      <c r="A86" s="299" t="s">
        <v>1316</v>
      </c>
      <c r="B86" s="399" t="s">
        <v>1317</v>
      </c>
      <c r="C86" s="299" t="s">
        <v>1290</v>
      </c>
      <c r="D86" s="301" t="s">
        <v>1267</v>
      </c>
      <c r="E86" s="301" t="s">
        <v>1268</v>
      </c>
      <c r="F86" s="302">
        <v>105000</v>
      </c>
      <c r="G86" s="559" t="s">
        <v>314</v>
      </c>
      <c r="H86" s="559" t="s">
        <v>314</v>
      </c>
      <c r="I86" s="559" t="s">
        <v>314</v>
      </c>
      <c r="J86" s="559" t="s">
        <v>314</v>
      </c>
      <c r="K86" s="559" t="s">
        <v>314</v>
      </c>
      <c r="L86" s="559" t="s">
        <v>314</v>
      </c>
      <c r="M86" s="559" t="s">
        <v>314</v>
      </c>
      <c r="N86" s="559" t="s">
        <v>314</v>
      </c>
      <c r="O86" s="559" t="s">
        <v>314</v>
      </c>
      <c r="P86" s="559" t="s">
        <v>314</v>
      </c>
      <c r="Q86" s="360">
        <v>1750</v>
      </c>
      <c r="R86" s="360">
        <v>3500</v>
      </c>
      <c r="S86" s="360">
        <f t="shared" si="8"/>
        <v>5250</v>
      </c>
      <c r="T86" s="361">
        <f t="shared" ca="1" si="10"/>
        <v>-1983</v>
      </c>
      <c r="U86" s="303">
        <v>42399</v>
      </c>
      <c r="V86" s="359" t="s">
        <v>1262</v>
      </c>
      <c r="W86" s="362" t="s">
        <v>1378</v>
      </c>
      <c r="X86" s="305"/>
      <c r="Y86" s="305"/>
      <c r="Z86" s="305"/>
      <c r="AA86" s="305"/>
      <c r="AB86" s="305"/>
      <c r="AC86" s="306"/>
      <c r="AD86" s="307">
        <v>41486</v>
      </c>
      <c r="AE86" s="363">
        <f t="shared" ca="1" si="9"/>
        <v>705</v>
      </c>
      <c r="AF86" s="299"/>
    </row>
    <row r="87" spans="1:32" s="541" customFormat="1" ht="39" thickBot="1" x14ac:dyDescent="0.25">
      <c r="A87" s="299" t="s">
        <v>1307</v>
      </c>
      <c r="B87" s="299" t="s">
        <v>1353</v>
      </c>
      <c r="C87" s="299"/>
      <c r="D87" s="301" t="s">
        <v>1269</v>
      </c>
      <c r="E87" s="301" t="s">
        <v>1270</v>
      </c>
      <c r="F87" s="302">
        <v>12800</v>
      </c>
      <c r="G87" s="559" t="s">
        <v>314</v>
      </c>
      <c r="H87" s="559" t="s">
        <v>314</v>
      </c>
      <c r="I87" s="559" t="s">
        <v>314</v>
      </c>
      <c r="J87" s="559" t="s">
        <v>314</v>
      </c>
      <c r="K87" s="559" t="s">
        <v>314</v>
      </c>
      <c r="L87" s="559" t="s">
        <v>314</v>
      </c>
      <c r="M87" s="559" t="s">
        <v>314</v>
      </c>
      <c r="N87" s="559" t="s">
        <v>314</v>
      </c>
      <c r="O87" s="559" t="s">
        <v>314</v>
      </c>
      <c r="P87" s="360">
        <v>11000</v>
      </c>
      <c r="Q87" s="559" t="s">
        <v>314</v>
      </c>
      <c r="R87" s="559" t="s">
        <v>314</v>
      </c>
      <c r="S87" s="360">
        <f t="shared" si="8"/>
        <v>11000</v>
      </c>
      <c r="T87" s="361">
        <f t="shared" ca="1" si="10"/>
        <v>-2865</v>
      </c>
      <c r="U87" s="303">
        <v>41517</v>
      </c>
      <c r="V87" s="359" t="s">
        <v>1263</v>
      </c>
      <c r="W87" s="362" t="s">
        <v>1308</v>
      </c>
      <c r="X87" s="305"/>
      <c r="Y87" s="305"/>
      <c r="Z87" s="305"/>
      <c r="AA87" s="305"/>
      <c r="AB87" s="305"/>
      <c r="AC87" s="306">
        <v>41578</v>
      </c>
      <c r="AD87" s="307">
        <v>41487</v>
      </c>
      <c r="AE87" s="363">
        <f t="shared" ca="1" si="9"/>
        <v>704</v>
      </c>
      <c r="AF87" s="299" t="s">
        <v>169</v>
      </c>
    </row>
    <row r="88" spans="1:32" s="541" customFormat="1" ht="102.75" thickBot="1" x14ac:dyDescent="0.25">
      <c r="A88" s="299" t="s">
        <v>1375</v>
      </c>
      <c r="B88" s="299" t="s">
        <v>1376</v>
      </c>
      <c r="C88" s="299"/>
      <c r="D88" s="301" t="s">
        <v>1272</v>
      </c>
      <c r="E88" s="301" t="s">
        <v>1273</v>
      </c>
      <c r="F88" s="302">
        <v>110880</v>
      </c>
      <c r="G88" s="284" t="s">
        <v>1407</v>
      </c>
      <c r="H88" s="284"/>
      <c r="I88" s="284"/>
      <c r="J88" s="284"/>
      <c r="K88" s="284"/>
      <c r="L88" s="284"/>
      <c r="M88" s="284"/>
      <c r="N88" s="284"/>
      <c r="O88" s="284"/>
      <c r="P88" s="284"/>
      <c r="Q88" s="284"/>
      <c r="R88" s="284"/>
      <c r="S88" s="284">
        <f t="shared" si="8"/>
        <v>0</v>
      </c>
      <c r="T88" s="274">
        <f t="shared" ca="1" si="10"/>
        <v>-2531</v>
      </c>
      <c r="U88" s="303">
        <v>41851</v>
      </c>
      <c r="V88" s="304" t="s">
        <v>1263</v>
      </c>
      <c r="W88" s="362" t="s">
        <v>1377</v>
      </c>
      <c r="X88" s="305"/>
      <c r="Y88" s="305"/>
      <c r="Z88" s="305"/>
      <c r="AA88" s="305"/>
      <c r="AB88" s="305"/>
      <c r="AC88" s="306"/>
      <c r="AD88" s="307">
        <v>41487</v>
      </c>
      <c r="AE88" s="278">
        <f t="shared" ca="1" si="9"/>
        <v>704</v>
      </c>
      <c r="AF88" s="299"/>
    </row>
    <row r="89" spans="1:32" s="541" customFormat="1" ht="39" thickBot="1" x14ac:dyDescent="0.25">
      <c r="A89" s="299" t="s">
        <v>1313</v>
      </c>
      <c r="B89" s="299" t="s">
        <v>1353</v>
      </c>
      <c r="C89" s="299"/>
      <c r="D89" s="301" t="s">
        <v>1278</v>
      </c>
      <c r="E89" s="301" t="s">
        <v>1279</v>
      </c>
      <c r="F89" s="302">
        <v>15640</v>
      </c>
      <c r="G89" s="559" t="s">
        <v>314</v>
      </c>
      <c r="H89" s="559" t="s">
        <v>314</v>
      </c>
      <c r="I89" s="559" t="s">
        <v>314</v>
      </c>
      <c r="J89" s="559" t="s">
        <v>314</v>
      </c>
      <c r="K89" s="559" t="s">
        <v>314</v>
      </c>
      <c r="L89" s="559" t="s">
        <v>314</v>
      </c>
      <c r="M89" s="559" t="s">
        <v>314</v>
      </c>
      <c r="N89" s="559" t="s">
        <v>314</v>
      </c>
      <c r="O89" s="559" t="s">
        <v>314</v>
      </c>
      <c r="P89" s="360">
        <v>15640</v>
      </c>
      <c r="Q89" s="284"/>
      <c r="R89" s="284"/>
      <c r="S89" s="360">
        <f t="shared" si="8"/>
        <v>15640</v>
      </c>
      <c r="T89" s="361">
        <f t="shared" ca="1" si="10"/>
        <v>-2861</v>
      </c>
      <c r="U89" s="303">
        <v>41521</v>
      </c>
      <c r="V89" s="359" t="s">
        <v>1274</v>
      </c>
      <c r="W89" s="362" t="s">
        <v>1314</v>
      </c>
      <c r="X89" s="305"/>
      <c r="Y89" s="305"/>
      <c r="Z89" s="305"/>
      <c r="AA89" s="305"/>
      <c r="AB89" s="305"/>
      <c r="AC89" s="306">
        <v>41582</v>
      </c>
      <c r="AD89" s="307">
        <v>41491</v>
      </c>
      <c r="AE89" s="363">
        <f t="shared" ca="1" si="9"/>
        <v>700</v>
      </c>
      <c r="AF89" s="299"/>
    </row>
    <row r="90" spans="1:32" s="541" customFormat="1" ht="39" thickBot="1" x14ac:dyDescent="0.25">
      <c r="A90" s="299" t="s">
        <v>1311</v>
      </c>
      <c r="B90" s="299" t="s">
        <v>1353</v>
      </c>
      <c r="C90" s="299"/>
      <c r="D90" s="301" t="s">
        <v>1280</v>
      </c>
      <c r="E90" s="301" t="s">
        <v>1281</v>
      </c>
      <c r="F90" s="302">
        <v>6000</v>
      </c>
      <c r="G90" s="563" t="s">
        <v>314</v>
      </c>
      <c r="H90" s="563" t="s">
        <v>314</v>
      </c>
      <c r="I90" s="563" t="s">
        <v>314</v>
      </c>
      <c r="J90" s="563" t="s">
        <v>314</v>
      </c>
      <c r="K90" s="563" t="s">
        <v>314</v>
      </c>
      <c r="L90" s="563" t="s">
        <v>314</v>
      </c>
      <c r="M90" s="563" t="s">
        <v>314</v>
      </c>
      <c r="N90" s="360">
        <v>1000</v>
      </c>
      <c r="O90" s="360">
        <v>1000</v>
      </c>
      <c r="P90" s="360">
        <v>1000</v>
      </c>
      <c r="Q90" s="360"/>
      <c r="R90" s="360"/>
      <c r="S90" s="360">
        <f t="shared" si="8"/>
        <v>3000</v>
      </c>
      <c r="T90" s="361">
        <f t="shared" ca="1" si="10"/>
        <v>-2698</v>
      </c>
      <c r="U90" s="303">
        <v>41684</v>
      </c>
      <c r="V90" s="359" t="s">
        <v>1275</v>
      </c>
      <c r="W90" s="362" t="s">
        <v>1312</v>
      </c>
      <c r="X90" s="305"/>
      <c r="Y90" s="305"/>
      <c r="Z90" s="305"/>
      <c r="AA90" s="305"/>
      <c r="AB90" s="305"/>
      <c r="AC90" s="306">
        <v>41621</v>
      </c>
      <c r="AD90" s="307">
        <v>41501</v>
      </c>
      <c r="AE90" s="363">
        <f t="shared" ca="1" si="9"/>
        <v>690</v>
      </c>
      <c r="AF90" s="299" t="s">
        <v>1454</v>
      </c>
    </row>
    <row r="91" spans="1:32" s="541" customFormat="1" ht="39" thickBot="1" x14ac:dyDescent="0.25">
      <c r="A91" s="299" t="s">
        <v>1277</v>
      </c>
      <c r="B91" s="399" t="s">
        <v>1309</v>
      </c>
      <c r="C91" s="299" t="s">
        <v>1290</v>
      </c>
      <c r="D91" s="301" t="s">
        <v>1282</v>
      </c>
      <c r="E91" s="301" t="s">
        <v>1283</v>
      </c>
      <c r="F91" s="302">
        <v>492500</v>
      </c>
      <c r="G91" s="559" t="s">
        <v>314</v>
      </c>
      <c r="H91" s="559" t="s">
        <v>314</v>
      </c>
      <c r="I91" s="559" t="s">
        <v>314</v>
      </c>
      <c r="J91" s="559" t="s">
        <v>314</v>
      </c>
      <c r="K91" s="559" t="s">
        <v>314</v>
      </c>
      <c r="L91" s="559" t="s">
        <v>314</v>
      </c>
      <c r="M91" s="559" t="s">
        <v>314</v>
      </c>
      <c r="N91" s="559" t="s">
        <v>314</v>
      </c>
      <c r="O91" s="284">
        <v>35008.54</v>
      </c>
      <c r="P91" s="559" t="s">
        <v>314</v>
      </c>
      <c r="Q91" s="284"/>
      <c r="R91" s="360"/>
      <c r="S91" s="360">
        <f t="shared" si="8"/>
        <v>35008.54</v>
      </c>
      <c r="T91" s="361">
        <f t="shared" ca="1" si="10"/>
        <v>-1407</v>
      </c>
      <c r="U91" s="303">
        <v>42975</v>
      </c>
      <c r="V91" s="359" t="s">
        <v>1276</v>
      </c>
      <c r="W91" s="362" t="s">
        <v>1310</v>
      </c>
      <c r="X91" s="305"/>
      <c r="Y91" s="305"/>
      <c r="Z91" s="305"/>
      <c r="AA91" s="305"/>
      <c r="AB91" s="305"/>
      <c r="AC91" s="306"/>
      <c r="AD91" s="307">
        <v>41515</v>
      </c>
      <c r="AE91" s="363">
        <f t="shared" ca="1" si="9"/>
        <v>676</v>
      </c>
      <c r="AF91" s="299" t="s">
        <v>41</v>
      </c>
    </row>
    <row r="92" spans="1:32" s="541" customFormat="1" ht="26.25" thickBot="1" x14ac:dyDescent="0.25">
      <c r="A92" s="299" t="s">
        <v>1411</v>
      </c>
      <c r="B92" s="399" t="s">
        <v>1412</v>
      </c>
      <c r="C92" s="299" t="s">
        <v>1290</v>
      </c>
      <c r="D92" s="301" t="s">
        <v>1285</v>
      </c>
      <c r="E92" s="301" t="s">
        <v>1286</v>
      </c>
      <c r="F92" s="302">
        <v>3100</v>
      </c>
      <c r="G92" s="559" t="s">
        <v>314</v>
      </c>
      <c r="H92" s="559" t="s">
        <v>314</v>
      </c>
      <c r="I92" s="559" t="s">
        <v>314</v>
      </c>
      <c r="J92" s="559" t="s">
        <v>314</v>
      </c>
      <c r="K92" s="559" t="s">
        <v>314</v>
      </c>
      <c r="L92" s="559" t="s">
        <v>314</v>
      </c>
      <c r="M92" s="559" t="s">
        <v>314</v>
      </c>
      <c r="N92" s="284">
        <v>500</v>
      </c>
      <c r="O92" s="284">
        <v>775</v>
      </c>
      <c r="P92" s="284">
        <v>775</v>
      </c>
      <c r="Q92" s="284"/>
      <c r="R92" s="284"/>
      <c r="S92" s="284">
        <f t="shared" si="8"/>
        <v>2050</v>
      </c>
      <c r="T92" s="274">
        <f t="shared" ca="1" si="10"/>
        <v>-2500</v>
      </c>
      <c r="U92" s="303">
        <v>41882</v>
      </c>
      <c r="V92" s="304" t="s">
        <v>1287</v>
      </c>
      <c r="W92" s="362" t="s">
        <v>1399</v>
      </c>
      <c r="X92" s="305"/>
      <c r="Y92" s="305"/>
      <c r="Z92" s="305"/>
      <c r="AA92" s="305"/>
      <c r="AB92" s="305"/>
      <c r="AC92" s="306"/>
      <c r="AD92" s="307">
        <v>41512</v>
      </c>
      <c r="AE92" s="278">
        <f t="shared" ca="1" si="9"/>
        <v>679</v>
      </c>
      <c r="AF92" s="299"/>
    </row>
    <row r="93" spans="1:32" s="541" customFormat="1" ht="39" thickBot="1" x14ac:dyDescent="0.25">
      <c r="A93" s="299" t="s">
        <v>1336</v>
      </c>
      <c r="B93" s="299" t="s">
        <v>1353</v>
      </c>
      <c r="C93" s="299"/>
      <c r="D93" s="301" t="s">
        <v>1337</v>
      </c>
      <c r="E93" s="301" t="s">
        <v>1338</v>
      </c>
      <c r="F93" s="302">
        <v>11249.8</v>
      </c>
      <c r="G93" s="559" t="s">
        <v>314</v>
      </c>
      <c r="H93" s="559" t="s">
        <v>314</v>
      </c>
      <c r="I93" s="559" t="s">
        <v>314</v>
      </c>
      <c r="J93" s="559" t="s">
        <v>314</v>
      </c>
      <c r="K93" s="360">
        <f>1000+10249.8</f>
        <v>11249.8</v>
      </c>
      <c r="L93" s="559" t="s">
        <v>314</v>
      </c>
      <c r="M93" s="559" t="s">
        <v>314</v>
      </c>
      <c r="N93" s="559" t="s">
        <v>314</v>
      </c>
      <c r="O93" s="559" t="s">
        <v>314</v>
      </c>
      <c r="P93" s="360">
        <v>2623.2</v>
      </c>
      <c r="Q93" s="360"/>
      <c r="R93" s="360"/>
      <c r="S93" s="360">
        <f>SUM(G93:R93)</f>
        <v>13873</v>
      </c>
      <c r="T93" s="361">
        <f t="shared" ca="1" si="10"/>
        <v>-2948</v>
      </c>
      <c r="U93" s="303">
        <v>41434</v>
      </c>
      <c r="V93" s="359" t="s">
        <v>1339</v>
      </c>
      <c r="W93" s="362" t="s">
        <v>1340</v>
      </c>
      <c r="X93" s="305"/>
      <c r="Y93" s="305"/>
      <c r="Z93" s="305"/>
      <c r="AA93" s="305"/>
      <c r="AB93" s="305"/>
      <c r="AC93" s="306">
        <v>41578</v>
      </c>
      <c r="AD93" s="307">
        <v>41403</v>
      </c>
      <c r="AE93" s="363">
        <f ca="1">TODAY()-DATE(YEAR(AD93)+6,MONTH(AD93),DAY(AD93))</f>
        <v>788</v>
      </c>
      <c r="AF93" s="299" t="s">
        <v>48</v>
      </c>
    </row>
    <row r="94" spans="1:32" s="541" customFormat="1" ht="26.25" thickBot="1" x14ac:dyDescent="0.25">
      <c r="A94" s="299" t="s">
        <v>1341</v>
      </c>
      <c r="B94" s="299" t="s">
        <v>1330</v>
      </c>
      <c r="C94" s="299"/>
      <c r="D94" s="301" t="s">
        <v>1342</v>
      </c>
      <c r="E94" s="301" t="s">
        <v>1343</v>
      </c>
      <c r="F94" s="302">
        <v>41030.28</v>
      </c>
      <c r="G94" s="559" t="s">
        <v>314</v>
      </c>
      <c r="H94" s="559" t="s">
        <v>314</v>
      </c>
      <c r="I94" s="559" t="s">
        <v>314</v>
      </c>
      <c r="J94" s="559" t="s">
        <v>314</v>
      </c>
      <c r="K94" s="559" t="s">
        <v>314</v>
      </c>
      <c r="L94" s="360">
        <v>4077.36</v>
      </c>
      <c r="M94" s="360">
        <v>4765.55</v>
      </c>
      <c r="N94" s="360">
        <v>6647.87</v>
      </c>
      <c r="O94" s="360">
        <v>5466.02</v>
      </c>
      <c r="P94" s="360">
        <v>8175.46</v>
      </c>
      <c r="Q94" s="360"/>
      <c r="R94" s="360"/>
      <c r="S94" s="360">
        <f>SUM(G94:R94)</f>
        <v>29132.26</v>
      </c>
      <c r="T94" s="361">
        <f t="shared" ca="1" si="10"/>
        <v>-2603</v>
      </c>
      <c r="U94" s="303">
        <v>41779</v>
      </c>
      <c r="V94" s="359" t="s">
        <v>1344</v>
      </c>
      <c r="W94" s="362" t="s">
        <v>840</v>
      </c>
      <c r="X94" s="305"/>
      <c r="Y94" s="305"/>
      <c r="Z94" s="305"/>
      <c r="AA94" s="305"/>
      <c r="AB94" s="305"/>
      <c r="AC94" s="306" t="s">
        <v>1501</v>
      </c>
      <c r="AD94" s="307">
        <v>41415</v>
      </c>
      <c r="AE94" s="363">
        <f ca="1">TODAY()-DATE(YEAR(AD94)+6,MONTH(AD94),DAY(AD94))</f>
        <v>776</v>
      </c>
      <c r="AF94" s="299"/>
    </row>
    <row r="95" spans="1:32" s="541" customFormat="1" ht="39" thickBot="1" x14ac:dyDescent="0.25">
      <c r="A95" s="299" t="s">
        <v>1355</v>
      </c>
      <c r="B95" s="299" t="s">
        <v>1353</v>
      </c>
      <c r="C95" s="299"/>
      <c r="D95" s="301" t="s">
        <v>212</v>
      </c>
      <c r="E95" s="301" t="s">
        <v>1356</v>
      </c>
      <c r="F95" s="302">
        <v>15898</v>
      </c>
      <c r="G95" s="559" t="s">
        <v>314</v>
      </c>
      <c r="H95" s="559" t="s">
        <v>314</v>
      </c>
      <c r="I95" s="559" t="s">
        <v>314</v>
      </c>
      <c r="J95" s="559" t="s">
        <v>314</v>
      </c>
      <c r="K95" s="559" t="s">
        <v>314</v>
      </c>
      <c r="L95" s="559" t="s">
        <v>314</v>
      </c>
      <c r="M95" s="559" t="s">
        <v>314</v>
      </c>
      <c r="N95" s="559" t="s">
        <v>314</v>
      </c>
      <c r="O95" s="543">
        <v>4680</v>
      </c>
      <c r="P95" s="559" t="s">
        <v>314</v>
      </c>
      <c r="Q95" s="284"/>
      <c r="R95" s="284"/>
      <c r="S95" s="284">
        <f>SUM(G95:R95)</f>
        <v>4680</v>
      </c>
      <c r="T95" s="274">
        <f t="shared" ca="1" si="10"/>
        <v>-2917</v>
      </c>
      <c r="U95" s="303">
        <v>41465</v>
      </c>
      <c r="V95" s="304" t="s">
        <v>1357</v>
      </c>
      <c r="W95" s="362" t="s">
        <v>726</v>
      </c>
      <c r="X95" s="305"/>
      <c r="Y95" s="305"/>
      <c r="Z95" s="305"/>
      <c r="AA95" s="305"/>
      <c r="AB95" s="305"/>
      <c r="AC95" s="306">
        <v>41578</v>
      </c>
      <c r="AD95" s="307">
        <v>41435</v>
      </c>
      <c r="AE95" s="278">
        <f ca="1">TODAY()-DATE(YEAR(AD95)+6,MONTH(AD95),DAY(AD95))</f>
        <v>756</v>
      </c>
      <c r="AF95" s="299" t="s">
        <v>48</v>
      </c>
    </row>
    <row r="96" spans="1:32" s="541" customFormat="1" ht="39" thickBot="1" x14ac:dyDescent="0.25">
      <c r="A96" s="299" t="s">
        <v>1380</v>
      </c>
      <c r="B96" s="399" t="s">
        <v>1384</v>
      </c>
      <c r="C96" s="299" t="s">
        <v>772</v>
      </c>
      <c r="D96" s="301" t="s">
        <v>1381</v>
      </c>
      <c r="E96" s="301" t="s">
        <v>1351</v>
      </c>
      <c r="F96" s="302">
        <v>256181.76000000001</v>
      </c>
      <c r="G96" s="559" t="s">
        <v>314</v>
      </c>
      <c r="H96" s="559" t="s">
        <v>314</v>
      </c>
      <c r="I96" s="559" t="s">
        <v>314</v>
      </c>
      <c r="J96" s="559" t="s">
        <v>314</v>
      </c>
      <c r="K96" s="559" t="s">
        <v>314</v>
      </c>
      <c r="L96" s="559" t="s">
        <v>314</v>
      </c>
      <c r="M96" s="559" t="s">
        <v>314</v>
      </c>
      <c r="N96" s="559" t="s">
        <v>314</v>
      </c>
      <c r="O96" s="559" t="s">
        <v>314</v>
      </c>
      <c r="P96" s="559" t="s">
        <v>314</v>
      </c>
      <c r="Q96" s="284"/>
      <c r="R96" s="284"/>
      <c r="S96" s="284">
        <f>SUM(G96:R96)</f>
        <v>0</v>
      </c>
      <c r="T96" s="274">
        <f t="shared" ca="1" si="10"/>
        <v>-2470</v>
      </c>
      <c r="U96" s="303">
        <v>41912</v>
      </c>
      <c r="V96" s="304" t="s">
        <v>1382</v>
      </c>
      <c r="W96" s="362" t="s">
        <v>751</v>
      </c>
      <c r="X96" s="305"/>
      <c r="Y96" s="305"/>
      <c r="Z96" s="305"/>
      <c r="AA96" s="305"/>
      <c r="AB96" s="305"/>
      <c r="AC96" s="306"/>
      <c r="AD96" s="307">
        <v>41548</v>
      </c>
      <c r="AE96" s="278">
        <f ca="1">TODAY()-DATE(YEAR(AD96)+6,MONTH(AD96),DAY(AD96))</f>
        <v>643</v>
      </c>
      <c r="AF96" s="299" t="s">
        <v>96</v>
      </c>
    </row>
    <row r="97" spans="1:32" s="541" customFormat="1" ht="39" thickBot="1" x14ac:dyDescent="0.25">
      <c r="A97" s="299" t="s">
        <v>1383</v>
      </c>
      <c r="B97" s="299" t="s">
        <v>1353</v>
      </c>
      <c r="C97" s="299"/>
      <c r="D97" s="301" t="s">
        <v>1385</v>
      </c>
      <c r="E97" s="301" t="s">
        <v>1404</v>
      </c>
      <c r="F97" s="302">
        <v>26330</v>
      </c>
      <c r="G97" s="559" t="s">
        <v>314</v>
      </c>
      <c r="H97" s="559" t="s">
        <v>314</v>
      </c>
      <c r="I97" s="559" t="s">
        <v>314</v>
      </c>
      <c r="J97" s="559" t="s">
        <v>314</v>
      </c>
      <c r="K97" s="559" t="s">
        <v>314</v>
      </c>
      <c r="L97" s="559" t="s">
        <v>314</v>
      </c>
      <c r="M97" s="559" t="s">
        <v>314</v>
      </c>
      <c r="N97" s="559" t="s">
        <v>314</v>
      </c>
      <c r="O97" s="559" t="s">
        <v>314</v>
      </c>
      <c r="P97" s="559" t="s">
        <v>314</v>
      </c>
      <c r="Q97" s="284"/>
      <c r="R97" s="284"/>
      <c r="S97" s="284">
        <f>SUM(G97:R97)</f>
        <v>0</v>
      </c>
      <c r="T97" s="274">
        <f t="shared" ca="1" si="10"/>
        <v>-2905</v>
      </c>
      <c r="U97" s="303">
        <v>41477</v>
      </c>
      <c r="V97" s="304" t="s">
        <v>1386</v>
      </c>
      <c r="W97" s="362" t="s">
        <v>1387</v>
      </c>
      <c r="X97" s="305"/>
      <c r="Y97" s="305"/>
      <c r="Z97" s="305"/>
      <c r="AA97" s="305"/>
      <c r="AB97" s="305"/>
      <c r="AC97" s="306">
        <v>41578</v>
      </c>
      <c r="AD97" s="307">
        <v>41477</v>
      </c>
      <c r="AE97" s="278">
        <f ca="1">TODAY()-DATE(YEAR(AD97)+6,MONTH(AD97),DAY(AD97))</f>
        <v>714</v>
      </c>
      <c r="AF97" s="299" t="s">
        <v>48</v>
      </c>
    </row>
    <row r="98" spans="1:32" ht="26.25" thickBot="1" x14ac:dyDescent="0.25">
      <c r="A98" s="299" t="s">
        <v>1414</v>
      </c>
      <c r="B98" s="299"/>
      <c r="C98" s="299" t="s">
        <v>61</v>
      </c>
      <c r="D98" s="301" t="s">
        <v>1415</v>
      </c>
      <c r="E98" s="301" t="s">
        <v>1416</v>
      </c>
      <c r="F98" s="302">
        <v>2644.63</v>
      </c>
      <c r="G98" s="559" t="s">
        <v>314</v>
      </c>
      <c r="H98" s="559" t="s">
        <v>314</v>
      </c>
      <c r="I98" s="559" t="s">
        <v>314</v>
      </c>
      <c r="J98" s="559" t="s">
        <v>314</v>
      </c>
      <c r="K98" s="559" t="s">
        <v>314</v>
      </c>
      <c r="L98" s="559" t="s">
        <v>314</v>
      </c>
      <c r="M98" s="559" t="s">
        <v>314</v>
      </c>
      <c r="N98" s="559" t="s">
        <v>314</v>
      </c>
      <c r="O98" s="284">
        <v>2644.63</v>
      </c>
      <c r="P98" s="559" t="s">
        <v>314</v>
      </c>
      <c r="Q98" s="284"/>
      <c r="R98" s="284"/>
      <c r="S98" s="284">
        <f t="shared" si="8"/>
        <v>2644.63</v>
      </c>
      <c r="T98" s="274">
        <f t="shared" ca="1" si="10"/>
        <v>-2465</v>
      </c>
      <c r="U98" s="303">
        <v>41917</v>
      </c>
      <c r="V98" s="304" t="s">
        <v>1417</v>
      </c>
      <c r="W98" s="315"/>
      <c r="X98" s="305"/>
      <c r="Y98" s="305"/>
      <c r="Z98" s="305"/>
      <c r="AA98" s="305"/>
      <c r="AB98" s="305"/>
      <c r="AC98" s="556"/>
      <c r="AD98" s="307"/>
      <c r="AE98" s="278">
        <f t="shared" ca="1" si="9"/>
        <v>42190</v>
      </c>
      <c r="AF98" s="299" t="s">
        <v>48</v>
      </c>
    </row>
    <row r="99" spans="1:32" ht="26.25" thickBot="1" x14ac:dyDescent="0.25">
      <c r="A99" s="299" t="s">
        <v>1418</v>
      </c>
      <c r="B99" s="299"/>
      <c r="C99" s="299" t="s">
        <v>61</v>
      </c>
      <c r="D99" s="301" t="s">
        <v>1419</v>
      </c>
      <c r="E99" s="301" t="s">
        <v>1420</v>
      </c>
      <c r="F99" s="302">
        <v>1330.92</v>
      </c>
      <c r="G99" s="559" t="s">
        <v>314</v>
      </c>
      <c r="H99" s="559" t="s">
        <v>314</v>
      </c>
      <c r="I99" s="559" t="s">
        <v>314</v>
      </c>
      <c r="J99" s="559" t="s">
        <v>314</v>
      </c>
      <c r="K99" s="559" t="s">
        <v>314</v>
      </c>
      <c r="L99" s="559" t="s">
        <v>314</v>
      </c>
      <c r="M99" s="559" t="s">
        <v>314</v>
      </c>
      <c r="N99" s="559" t="s">
        <v>314</v>
      </c>
      <c r="O99" s="559" t="s">
        <v>314</v>
      </c>
      <c r="P99" s="284">
        <v>1330.92</v>
      </c>
      <c r="Q99" s="284"/>
      <c r="R99" s="284"/>
      <c r="S99" s="284">
        <f t="shared" si="8"/>
        <v>1330.92</v>
      </c>
      <c r="T99" s="274">
        <f t="shared" ca="1" si="10"/>
        <v>-2465</v>
      </c>
      <c r="U99" s="303">
        <v>41917</v>
      </c>
      <c r="V99" s="304" t="s">
        <v>1417</v>
      </c>
      <c r="W99" s="315"/>
      <c r="X99" s="305"/>
      <c r="Y99" s="305"/>
      <c r="Z99" s="305"/>
      <c r="AA99" s="305"/>
      <c r="AB99" s="305"/>
      <c r="AC99" s="556"/>
      <c r="AD99" s="307"/>
      <c r="AE99" s="278">
        <f t="shared" ca="1" si="9"/>
        <v>42190</v>
      </c>
      <c r="AF99" s="299" t="s">
        <v>48</v>
      </c>
    </row>
    <row r="100" spans="1:32" ht="39" thickBot="1" x14ac:dyDescent="0.25">
      <c r="A100" s="299" t="s">
        <v>1427</v>
      </c>
      <c r="B100" s="299" t="s">
        <v>1428</v>
      </c>
      <c r="C100" s="299"/>
      <c r="D100" s="301" t="s">
        <v>1269</v>
      </c>
      <c r="E100" s="301" t="s">
        <v>1429</v>
      </c>
      <c r="F100" s="302">
        <v>12800</v>
      </c>
      <c r="G100" s="559" t="s">
        <v>314</v>
      </c>
      <c r="H100" s="559" t="s">
        <v>314</v>
      </c>
      <c r="I100" s="559" t="s">
        <v>314</v>
      </c>
      <c r="J100" s="559" t="s">
        <v>314</v>
      </c>
      <c r="K100" s="559" t="s">
        <v>314</v>
      </c>
      <c r="L100" s="559" t="s">
        <v>314</v>
      </c>
      <c r="M100" s="559" t="s">
        <v>314</v>
      </c>
      <c r="N100" s="284">
        <v>12800</v>
      </c>
      <c r="O100" s="559" t="s">
        <v>314</v>
      </c>
      <c r="P100" s="559" t="s">
        <v>314</v>
      </c>
      <c r="Q100" s="284"/>
      <c r="R100" s="284"/>
      <c r="S100" s="284">
        <f t="shared" si="8"/>
        <v>12800</v>
      </c>
      <c r="T100" s="274">
        <f ca="1">U100-$AE$3</f>
        <v>-3089</v>
      </c>
      <c r="U100" s="303">
        <v>41293</v>
      </c>
      <c r="V100" s="304" t="s">
        <v>1431</v>
      </c>
      <c r="W100" s="315"/>
      <c r="X100" s="305"/>
      <c r="Y100" s="305"/>
      <c r="Z100" s="305"/>
      <c r="AA100" s="305"/>
      <c r="AB100" s="305"/>
      <c r="AC100" s="306"/>
      <c r="AD100" s="307">
        <v>41263</v>
      </c>
      <c r="AE100" s="278">
        <f ca="1">TODAY()-DATE(YEAR(AD100)+6,MONTH(AD100),DAY(AD100))</f>
        <v>928</v>
      </c>
      <c r="AF100" s="299" t="s">
        <v>169</v>
      </c>
    </row>
    <row r="101" spans="1:32" ht="39" thickBot="1" x14ac:dyDescent="0.25">
      <c r="A101" s="299" t="s">
        <v>1437</v>
      </c>
      <c r="B101" s="299"/>
      <c r="C101" s="299" t="s">
        <v>1432</v>
      </c>
      <c r="D101" s="301" t="s">
        <v>1433</v>
      </c>
      <c r="E101" s="301" t="s">
        <v>1192</v>
      </c>
      <c r="F101" s="562">
        <v>0</v>
      </c>
      <c r="G101" s="559" t="s">
        <v>314</v>
      </c>
      <c r="H101" s="559" t="s">
        <v>314</v>
      </c>
      <c r="I101" s="559" t="s">
        <v>314</v>
      </c>
      <c r="J101" s="559" t="s">
        <v>314</v>
      </c>
      <c r="K101" s="559" t="s">
        <v>314</v>
      </c>
      <c r="L101" s="559" t="s">
        <v>314</v>
      </c>
      <c r="M101" s="559" t="s">
        <v>314</v>
      </c>
      <c r="N101" s="559" t="s">
        <v>314</v>
      </c>
      <c r="O101" s="559" t="s">
        <v>314</v>
      </c>
      <c r="P101" s="559" t="s">
        <v>314</v>
      </c>
      <c r="Q101" s="559" t="s">
        <v>314</v>
      </c>
      <c r="R101" s="559" t="s">
        <v>314</v>
      </c>
      <c r="S101" s="284">
        <f t="shared" si="8"/>
        <v>0</v>
      </c>
      <c r="T101" s="274">
        <f t="shared" ca="1" si="10"/>
        <v>-2426</v>
      </c>
      <c r="U101" s="303">
        <v>41956</v>
      </c>
      <c r="V101" s="304" t="s">
        <v>1434</v>
      </c>
      <c r="W101" s="315"/>
      <c r="X101" s="305"/>
      <c r="Y101" s="305"/>
      <c r="Z101" s="305"/>
      <c r="AA101" s="305"/>
      <c r="AB101" s="305"/>
      <c r="AC101" s="306"/>
      <c r="AD101" s="307">
        <v>41592</v>
      </c>
      <c r="AE101" s="278">
        <f t="shared" ca="1" si="9"/>
        <v>599</v>
      </c>
      <c r="AF101" s="299" t="s">
        <v>96</v>
      </c>
    </row>
    <row r="102" spans="1:32" ht="26.25" thickBot="1" x14ac:dyDescent="0.25">
      <c r="A102" s="299" t="s">
        <v>1436</v>
      </c>
      <c r="B102" s="299" t="s">
        <v>1428</v>
      </c>
      <c r="C102" s="299" t="s">
        <v>56</v>
      </c>
      <c r="D102" s="301" t="s">
        <v>973</v>
      </c>
      <c r="E102" s="301" t="s">
        <v>1438</v>
      </c>
      <c r="F102" s="302">
        <v>7100</v>
      </c>
      <c r="G102" s="284">
        <v>0</v>
      </c>
      <c r="H102" s="284">
        <v>0</v>
      </c>
      <c r="I102" s="284">
        <v>0</v>
      </c>
      <c r="J102" s="284">
        <v>0</v>
      </c>
      <c r="K102" s="284">
        <v>0</v>
      </c>
      <c r="L102" s="284">
        <v>0</v>
      </c>
      <c r="M102" s="284">
        <v>0</v>
      </c>
      <c r="N102" s="284">
        <v>0</v>
      </c>
      <c r="O102" s="284">
        <v>0</v>
      </c>
      <c r="P102" s="284">
        <v>0</v>
      </c>
      <c r="Q102" s="284">
        <v>7100</v>
      </c>
      <c r="R102" s="284"/>
      <c r="S102" s="284">
        <f t="shared" si="8"/>
        <v>7100</v>
      </c>
      <c r="T102" s="274">
        <f t="shared" ca="1" si="10"/>
        <v>-2470</v>
      </c>
      <c r="U102" s="303">
        <v>41912</v>
      </c>
      <c r="V102" s="304" t="s">
        <v>1439</v>
      </c>
      <c r="W102" s="315"/>
      <c r="X102" s="305"/>
      <c r="Y102" s="305"/>
      <c r="Z102" s="305"/>
      <c r="AA102" s="305"/>
      <c r="AB102" s="305"/>
      <c r="AC102" s="306"/>
      <c r="AD102" s="307">
        <v>41600</v>
      </c>
      <c r="AE102" s="278">
        <f t="shared" ca="1" si="9"/>
        <v>591</v>
      </c>
      <c r="AF102" s="299" t="s">
        <v>649</v>
      </c>
    </row>
    <row r="103" spans="1:32" s="541" customFormat="1" ht="51.75" thickBot="1" x14ac:dyDescent="0.25">
      <c r="A103" s="299" t="s">
        <v>1440</v>
      </c>
      <c r="B103" s="299" t="s">
        <v>1428</v>
      </c>
      <c r="C103" s="299" t="s">
        <v>56</v>
      </c>
      <c r="D103" s="301" t="s">
        <v>618</v>
      </c>
      <c r="E103" s="301" t="s">
        <v>1441</v>
      </c>
      <c r="F103" s="302">
        <v>4858.2</v>
      </c>
      <c r="G103" s="360">
        <v>0</v>
      </c>
      <c r="H103" s="360">
        <v>0</v>
      </c>
      <c r="I103" s="360">
        <v>0</v>
      </c>
      <c r="J103" s="360">
        <v>0</v>
      </c>
      <c r="K103" s="360">
        <v>0</v>
      </c>
      <c r="L103" s="360">
        <v>0</v>
      </c>
      <c r="M103" s="360">
        <v>0</v>
      </c>
      <c r="N103" s="360">
        <v>0</v>
      </c>
      <c r="O103" s="360">
        <v>0</v>
      </c>
      <c r="P103" s="360">
        <v>0</v>
      </c>
      <c r="Q103" s="360"/>
      <c r="R103" s="360"/>
      <c r="S103" s="360">
        <f t="shared" ref="S103:S112" si="11">SUM(G103:R103)</f>
        <v>0</v>
      </c>
      <c r="T103" s="361">
        <f t="shared" ref="T103:T112" ca="1" si="12">U103-$AE$3</f>
        <v>-2709</v>
      </c>
      <c r="U103" s="303">
        <v>41673</v>
      </c>
      <c r="V103" s="359" t="s">
        <v>1442</v>
      </c>
      <c r="W103" s="362"/>
      <c r="X103" s="305"/>
      <c r="Y103" s="305"/>
      <c r="Z103" s="305"/>
      <c r="AA103" s="305"/>
      <c r="AB103" s="305"/>
      <c r="AC103" s="306">
        <v>41621</v>
      </c>
      <c r="AD103" s="307">
        <v>41582</v>
      </c>
      <c r="AE103" s="363">
        <f t="shared" ref="AE103:AE112" ca="1" si="13">TODAY()-DATE(YEAR(AD103)+6,MONTH(AD103),DAY(AD103))</f>
        <v>609</v>
      </c>
      <c r="AF103" s="299" t="s">
        <v>41</v>
      </c>
    </row>
    <row r="104" spans="1:32" ht="39" thickBot="1" x14ac:dyDescent="0.25">
      <c r="A104" s="299" t="s">
        <v>1443</v>
      </c>
      <c r="B104" s="299" t="s">
        <v>1444</v>
      </c>
      <c r="C104" s="299" t="s">
        <v>37</v>
      </c>
      <c r="D104" s="301" t="s">
        <v>1445</v>
      </c>
      <c r="E104" s="301" t="s">
        <v>1446</v>
      </c>
      <c r="F104" s="302">
        <v>31200</v>
      </c>
      <c r="G104" s="284">
        <v>0</v>
      </c>
      <c r="H104" s="284">
        <v>0</v>
      </c>
      <c r="I104" s="284">
        <v>0</v>
      </c>
      <c r="J104" s="284">
        <v>0</v>
      </c>
      <c r="K104" s="284">
        <v>0</v>
      </c>
      <c r="L104" s="284">
        <v>0</v>
      </c>
      <c r="M104" s="284">
        <v>0</v>
      </c>
      <c r="N104" s="284">
        <v>0</v>
      </c>
      <c r="O104" s="284">
        <v>0</v>
      </c>
      <c r="P104" s="284">
        <v>0</v>
      </c>
      <c r="Q104" s="284">
        <v>0</v>
      </c>
      <c r="R104" s="284"/>
      <c r="S104" s="284">
        <f t="shared" si="11"/>
        <v>0</v>
      </c>
      <c r="T104" s="274">
        <f t="shared" ca="1" si="12"/>
        <v>-2408</v>
      </c>
      <c r="U104" s="303">
        <v>41974</v>
      </c>
      <c r="V104" s="304" t="s">
        <v>1455</v>
      </c>
      <c r="W104" s="315"/>
      <c r="X104" s="305"/>
      <c r="Y104" s="305"/>
      <c r="Z104" s="305"/>
      <c r="AA104" s="305"/>
      <c r="AB104" s="305"/>
      <c r="AC104" s="306"/>
      <c r="AD104" s="307">
        <v>41610</v>
      </c>
      <c r="AE104" s="278">
        <f t="shared" ca="1" si="13"/>
        <v>581</v>
      </c>
      <c r="AF104" s="299" t="s">
        <v>96</v>
      </c>
    </row>
    <row r="105" spans="1:32" ht="26.25" thickBot="1" x14ac:dyDescent="0.25">
      <c r="A105" s="299" t="s">
        <v>1447</v>
      </c>
      <c r="B105" s="299" t="s">
        <v>1428</v>
      </c>
      <c r="C105" s="299" t="s">
        <v>56</v>
      </c>
      <c r="D105" s="301" t="s">
        <v>1448</v>
      </c>
      <c r="E105" s="301" t="s">
        <v>1449</v>
      </c>
      <c r="F105" s="302">
        <v>15226.9</v>
      </c>
      <c r="G105" s="284">
        <v>0</v>
      </c>
      <c r="H105" s="284">
        <v>0</v>
      </c>
      <c r="I105" s="284">
        <v>0</v>
      </c>
      <c r="J105" s="284">
        <v>0</v>
      </c>
      <c r="K105" s="284">
        <v>0</v>
      </c>
      <c r="L105" s="284">
        <v>0</v>
      </c>
      <c r="M105" s="284">
        <v>0</v>
      </c>
      <c r="N105" s="284">
        <v>0</v>
      </c>
      <c r="O105" s="284">
        <v>0</v>
      </c>
      <c r="P105" s="284"/>
      <c r="Q105" s="284"/>
      <c r="R105" s="284"/>
      <c r="S105" s="284">
        <f t="shared" si="11"/>
        <v>0</v>
      </c>
      <c r="T105" s="274">
        <f t="shared" ca="1" si="12"/>
        <v>-44382</v>
      </c>
      <c r="U105" s="303"/>
      <c r="V105" s="304" t="s">
        <v>1450</v>
      </c>
      <c r="W105" s="315"/>
      <c r="X105" s="305"/>
      <c r="Y105" s="305"/>
      <c r="Z105" s="305"/>
      <c r="AA105" s="305"/>
      <c r="AB105" s="305"/>
      <c r="AC105" s="306"/>
      <c r="AD105" s="307">
        <v>41578</v>
      </c>
      <c r="AE105" s="278">
        <f t="shared" ca="1" si="13"/>
        <v>613</v>
      </c>
      <c r="AF105" s="299"/>
    </row>
    <row r="106" spans="1:32" ht="39" thickBot="1" x14ac:dyDescent="0.25">
      <c r="A106" s="299" t="s">
        <v>1457</v>
      </c>
      <c r="B106" s="299" t="s">
        <v>1458</v>
      </c>
      <c r="C106" s="299" t="s">
        <v>56</v>
      </c>
      <c r="D106" s="301" t="s">
        <v>303</v>
      </c>
      <c r="E106" s="301" t="s">
        <v>1459</v>
      </c>
      <c r="F106" s="302">
        <v>36000</v>
      </c>
      <c r="G106" s="284">
        <v>0</v>
      </c>
      <c r="H106" s="284">
        <v>0</v>
      </c>
      <c r="I106" s="284">
        <v>0</v>
      </c>
      <c r="J106" s="284">
        <v>0</v>
      </c>
      <c r="K106" s="284">
        <v>0</v>
      </c>
      <c r="L106" s="284">
        <v>0</v>
      </c>
      <c r="M106" s="284"/>
      <c r="N106" s="284"/>
      <c r="O106" s="284"/>
      <c r="P106" s="284"/>
      <c r="Q106" s="284"/>
      <c r="R106" s="284"/>
      <c r="S106" s="284">
        <f t="shared" si="11"/>
        <v>0</v>
      </c>
      <c r="T106" s="274">
        <f t="shared" ca="1" si="12"/>
        <v>-2567</v>
      </c>
      <c r="U106" s="303">
        <v>41815</v>
      </c>
      <c r="V106" s="304" t="s">
        <v>1460</v>
      </c>
      <c r="W106" s="315"/>
      <c r="X106" s="305"/>
      <c r="Y106" s="305"/>
      <c r="Z106" s="305"/>
      <c r="AA106" s="305"/>
      <c r="AB106" s="305"/>
      <c r="AC106" s="306"/>
      <c r="AD106" s="307">
        <v>41451</v>
      </c>
      <c r="AE106" s="278">
        <f t="shared" ca="1" si="13"/>
        <v>740</v>
      </c>
      <c r="AF106" s="299" t="s">
        <v>169</v>
      </c>
    </row>
    <row r="107" spans="1:32" ht="39" thickBot="1" x14ac:dyDescent="0.25">
      <c r="A107" s="299" t="s">
        <v>1461</v>
      </c>
      <c r="B107" s="299" t="s">
        <v>1428</v>
      </c>
      <c r="C107" s="299" t="s">
        <v>56</v>
      </c>
      <c r="D107" s="301" t="s">
        <v>1465</v>
      </c>
      <c r="E107" s="301" t="s">
        <v>1462</v>
      </c>
      <c r="F107" s="302">
        <v>15050</v>
      </c>
      <c r="G107" s="284"/>
      <c r="H107" s="284"/>
      <c r="I107" s="284"/>
      <c r="J107" s="284"/>
      <c r="K107" s="284"/>
      <c r="L107" s="284"/>
      <c r="M107" s="284"/>
      <c r="N107" s="284"/>
      <c r="O107" s="284"/>
      <c r="P107" s="284"/>
      <c r="Q107" s="284"/>
      <c r="R107" s="284"/>
      <c r="S107" s="284">
        <f t="shared" si="11"/>
        <v>0</v>
      </c>
      <c r="T107" s="274">
        <f t="shared" ca="1" si="12"/>
        <v>-2754</v>
      </c>
      <c r="U107" s="303">
        <v>41628</v>
      </c>
      <c r="V107" s="304" t="s">
        <v>1463</v>
      </c>
      <c r="W107" s="315"/>
      <c r="X107" s="305"/>
      <c r="Y107" s="305"/>
      <c r="Z107" s="305"/>
      <c r="AA107" s="305"/>
      <c r="AB107" s="305"/>
      <c r="AC107" s="306"/>
      <c r="AD107" s="307">
        <v>41612</v>
      </c>
      <c r="AE107" s="278">
        <f t="shared" ca="1" si="13"/>
        <v>579</v>
      </c>
      <c r="AF107" s="299"/>
    </row>
    <row r="108" spans="1:32" ht="26.25" thickBot="1" x14ac:dyDescent="0.25">
      <c r="A108" s="299" t="s">
        <v>1464</v>
      </c>
      <c r="B108" s="299" t="s">
        <v>1428</v>
      </c>
      <c r="C108" s="299" t="s">
        <v>56</v>
      </c>
      <c r="D108" s="301" t="s">
        <v>333</v>
      </c>
      <c r="E108" s="301" t="s">
        <v>1466</v>
      </c>
      <c r="F108" s="302">
        <v>4147.2</v>
      </c>
      <c r="G108" s="284"/>
      <c r="H108" s="284"/>
      <c r="I108" s="284"/>
      <c r="J108" s="284"/>
      <c r="K108" s="284"/>
      <c r="L108" s="284"/>
      <c r="M108" s="284"/>
      <c r="N108" s="284"/>
      <c r="O108" s="284"/>
      <c r="P108" s="284"/>
      <c r="Q108" s="284"/>
      <c r="R108" s="284"/>
      <c r="S108" s="284">
        <f t="shared" si="11"/>
        <v>0</v>
      </c>
      <c r="T108" s="274">
        <f t="shared" ca="1" si="12"/>
        <v>-2035</v>
      </c>
      <c r="U108" s="303">
        <v>42347</v>
      </c>
      <c r="V108" s="304" t="s">
        <v>1467</v>
      </c>
      <c r="W108" s="315"/>
      <c r="X108" s="305"/>
      <c r="Y108" s="305"/>
      <c r="Z108" s="305"/>
      <c r="AA108" s="305"/>
      <c r="AB108" s="305"/>
      <c r="AC108" s="306"/>
      <c r="AD108" s="307">
        <v>41618</v>
      </c>
      <c r="AE108" s="278">
        <f t="shared" ca="1" si="13"/>
        <v>573</v>
      </c>
      <c r="AF108" s="299" t="s">
        <v>1468</v>
      </c>
    </row>
    <row r="109" spans="1:32" ht="39" thickBot="1" x14ac:dyDescent="0.25">
      <c r="A109" s="299" t="s">
        <v>1472</v>
      </c>
      <c r="B109" s="299" t="s">
        <v>1428</v>
      </c>
      <c r="C109" s="299" t="s">
        <v>56</v>
      </c>
      <c r="D109" s="301" t="s">
        <v>1469</v>
      </c>
      <c r="E109" s="301" t="s">
        <v>1470</v>
      </c>
      <c r="F109" s="302">
        <v>11550</v>
      </c>
      <c r="G109" s="284"/>
      <c r="H109" s="284"/>
      <c r="I109" s="284"/>
      <c r="J109" s="284"/>
      <c r="K109" s="284"/>
      <c r="L109" s="284"/>
      <c r="M109" s="284"/>
      <c r="N109" s="284"/>
      <c r="O109" s="284"/>
      <c r="P109" s="284"/>
      <c r="Q109" s="284"/>
      <c r="R109" s="284"/>
      <c r="S109" s="284">
        <f t="shared" si="11"/>
        <v>0</v>
      </c>
      <c r="T109" s="274">
        <f t="shared" ca="1" si="12"/>
        <v>-2692</v>
      </c>
      <c r="U109" s="303">
        <v>41690</v>
      </c>
      <c r="V109" s="304" t="s">
        <v>1471</v>
      </c>
      <c r="W109" s="315"/>
      <c r="X109" s="305"/>
      <c r="Y109" s="305"/>
      <c r="Z109" s="305"/>
      <c r="AA109" s="305"/>
      <c r="AB109" s="305"/>
      <c r="AC109" s="306"/>
      <c r="AD109" s="307">
        <v>41660</v>
      </c>
      <c r="AE109" s="278">
        <f t="shared" ca="1" si="13"/>
        <v>531</v>
      </c>
      <c r="AF109" s="299"/>
    </row>
    <row r="110" spans="1:32" ht="13.5" thickBot="1" x14ac:dyDescent="0.25">
      <c r="A110" s="299"/>
      <c r="B110" s="299"/>
      <c r="C110" s="299"/>
      <c r="D110" s="301"/>
      <c r="E110" s="301"/>
      <c r="F110" s="302"/>
      <c r="G110" s="284"/>
      <c r="H110" s="284"/>
      <c r="I110" s="284"/>
      <c r="J110" s="284"/>
      <c r="K110" s="284"/>
      <c r="L110" s="284"/>
      <c r="M110" s="284"/>
      <c r="N110" s="284"/>
      <c r="O110" s="284"/>
      <c r="P110" s="284"/>
      <c r="Q110" s="284"/>
      <c r="R110" s="284"/>
      <c r="S110" s="284">
        <f t="shared" si="11"/>
        <v>0</v>
      </c>
      <c r="T110" s="274">
        <f t="shared" ca="1" si="12"/>
        <v>-44382</v>
      </c>
      <c r="U110" s="303"/>
      <c r="V110" s="304"/>
      <c r="W110" s="315"/>
      <c r="X110" s="305"/>
      <c r="Y110" s="305"/>
      <c r="Z110" s="305"/>
      <c r="AA110" s="305"/>
      <c r="AB110" s="305"/>
      <c r="AC110" s="306"/>
      <c r="AD110" s="307"/>
      <c r="AE110" s="278">
        <f t="shared" ca="1" si="13"/>
        <v>42190</v>
      </c>
      <c r="AF110" s="299"/>
    </row>
    <row r="111" spans="1:32" ht="13.5" thickBot="1" x14ac:dyDescent="0.25">
      <c r="A111" s="299"/>
      <c r="B111" s="299"/>
      <c r="C111" s="299"/>
      <c r="D111" s="301"/>
      <c r="E111" s="301"/>
      <c r="F111" s="302"/>
      <c r="G111" s="284"/>
      <c r="H111" s="284"/>
      <c r="I111" s="284"/>
      <c r="J111" s="284"/>
      <c r="K111" s="284"/>
      <c r="L111" s="284"/>
      <c r="M111" s="284"/>
      <c r="N111" s="284"/>
      <c r="O111" s="284"/>
      <c r="P111" s="284"/>
      <c r="Q111" s="284"/>
      <c r="R111" s="284"/>
      <c r="S111" s="284">
        <f t="shared" si="11"/>
        <v>0</v>
      </c>
      <c r="T111" s="274">
        <f t="shared" ca="1" si="12"/>
        <v>-44382</v>
      </c>
      <c r="U111" s="303"/>
      <c r="V111" s="304"/>
      <c r="W111" s="315"/>
      <c r="X111" s="305"/>
      <c r="Y111" s="305"/>
      <c r="Z111" s="305"/>
      <c r="AA111" s="305"/>
      <c r="AB111" s="305"/>
      <c r="AC111" s="306"/>
      <c r="AD111" s="307"/>
      <c r="AE111" s="278">
        <f t="shared" ca="1" si="13"/>
        <v>42190</v>
      </c>
      <c r="AF111" s="299"/>
    </row>
    <row r="112" spans="1:32" x14ac:dyDescent="0.2">
      <c r="A112" s="299"/>
      <c r="B112" s="299"/>
      <c r="C112" s="299"/>
      <c r="D112" s="301"/>
      <c r="E112" s="301"/>
      <c r="F112" s="302"/>
      <c r="G112" s="284"/>
      <c r="H112" s="284"/>
      <c r="I112" s="284"/>
      <c r="J112" s="284"/>
      <c r="K112" s="284"/>
      <c r="L112" s="284"/>
      <c r="M112" s="284"/>
      <c r="N112" s="284"/>
      <c r="O112" s="284"/>
      <c r="P112" s="284"/>
      <c r="Q112" s="284"/>
      <c r="R112" s="284"/>
      <c r="S112" s="284">
        <f t="shared" si="11"/>
        <v>0</v>
      </c>
      <c r="T112" s="274">
        <f t="shared" ca="1" si="12"/>
        <v>-44382</v>
      </c>
      <c r="U112" s="303"/>
      <c r="V112" s="304"/>
      <c r="W112" s="315"/>
      <c r="X112" s="305"/>
      <c r="Y112" s="305"/>
      <c r="Z112" s="305"/>
      <c r="AA112" s="305"/>
      <c r="AB112" s="305"/>
      <c r="AC112" s="306"/>
      <c r="AD112" s="307"/>
      <c r="AE112" s="278">
        <f t="shared" ca="1" si="13"/>
        <v>42190</v>
      </c>
      <c r="AF112" s="299"/>
    </row>
    <row r="117" spans="4:5" x14ac:dyDescent="0.2">
      <c r="D117" s="53" t="s">
        <v>1083</v>
      </c>
      <c r="E117" s="54" t="s">
        <v>1075</v>
      </c>
    </row>
    <row r="118" spans="4:5" x14ac:dyDescent="0.2">
      <c r="D118" s="53" t="s">
        <v>1084</v>
      </c>
      <c r="E118" s="253" t="s">
        <v>1076</v>
      </c>
    </row>
    <row r="119" spans="4:5" x14ac:dyDescent="0.2">
      <c r="D119" s="53" t="s">
        <v>1085</v>
      </c>
      <c r="E119" s="253" t="s">
        <v>1077</v>
      </c>
    </row>
    <row r="120" spans="4:5" x14ac:dyDescent="0.2">
      <c r="D120" s="1" t="s">
        <v>1086</v>
      </c>
      <c r="E120" s="253" t="s">
        <v>1078</v>
      </c>
    </row>
    <row r="121" spans="4:5" x14ac:dyDescent="0.2">
      <c r="D121" s="1" t="s">
        <v>1072</v>
      </c>
      <c r="E121" s="253" t="s">
        <v>1079</v>
      </c>
    </row>
    <row r="122" spans="4:5" x14ac:dyDescent="0.2">
      <c r="D122" s="308" t="s">
        <v>1071</v>
      </c>
      <c r="E122" s="253" t="s">
        <v>1080</v>
      </c>
    </row>
    <row r="123" spans="4:5" x14ac:dyDescent="0.2">
      <c r="D123" s="1" t="s">
        <v>1070</v>
      </c>
      <c r="E123" s="54" t="s">
        <v>1081</v>
      </c>
    </row>
    <row r="124" spans="4:5" x14ac:dyDescent="0.2">
      <c r="E124" s="471" t="s">
        <v>1082</v>
      </c>
    </row>
    <row r="125" spans="4:5" x14ac:dyDescent="0.2">
      <c r="E125" s="253" t="s">
        <v>1100</v>
      </c>
    </row>
  </sheetData>
  <mergeCells count="18">
    <mergeCell ref="X4:AB4"/>
    <mergeCell ref="AC4:AC5"/>
    <mergeCell ref="AF4:AF5"/>
    <mergeCell ref="AD4:AD5"/>
    <mergeCell ref="T4:T5"/>
    <mergeCell ref="U4:U5"/>
    <mergeCell ref="V4:V5"/>
    <mergeCell ref="W4:W5"/>
    <mergeCell ref="AG43:AJ43"/>
    <mergeCell ref="AG47:AK47"/>
    <mergeCell ref="G41:K41"/>
    <mergeCell ref="A4:A5"/>
    <mergeCell ref="B4:B5"/>
    <mergeCell ref="C4:C5"/>
    <mergeCell ref="D4:D5"/>
    <mergeCell ref="E4:E5"/>
    <mergeCell ref="F4:F5"/>
    <mergeCell ref="G4:S4"/>
  </mergeCells>
  <conditionalFormatting sqref="AE6">
    <cfRule type="expression" dxfId="7" priority="46" stopIfTrue="1">
      <formula>$AE6&gt;=-120</formula>
    </cfRule>
  </conditionalFormatting>
  <conditionalFormatting sqref="AE7">
    <cfRule type="expression" dxfId="6" priority="45" stopIfTrue="1">
      <formula>$AE7&gt;=-120</formula>
    </cfRule>
  </conditionalFormatting>
  <conditionalFormatting sqref="AE8">
    <cfRule type="expression" dxfId="5" priority="44" stopIfTrue="1">
      <formula>$AE8&gt;=-120</formula>
    </cfRule>
  </conditionalFormatting>
  <conditionalFormatting sqref="AE8">
    <cfRule type="expression" dxfId="4" priority="43" stopIfTrue="1">
      <formula>$AE8&gt;=-120</formula>
    </cfRule>
  </conditionalFormatting>
  <pageMargins left="0.511811024" right="0.511811024" top="0.78740157499999996" bottom="0.78740157499999996" header="0.31496062000000002" footer="0.31496062000000002"/>
  <pageSetup paperSize="9" orientation="landscape" r:id="rId1"/>
  <ignoredErrors>
    <ignoredError sqref="S6" formulaRange="1"/>
  </ignoredErrors>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148"/>
  <sheetViews>
    <sheetView topLeftCell="J59" zoomScale="86" zoomScaleNormal="86" workbookViewId="0">
      <selection activeCell="S64" sqref="S64"/>
    </sheetView>
  </sheetViews>
  <sheetFormatPr defaultRowHeight="12.75" x14ac:dyDescent="0.2"/>
  <cols>
    <col min="1" max="1" width="16" bestFit="1" customWidth="1"/>
    <col min="2" max="2" width="11.7109375" customWidth="1"/>
    <col min="3" max="3" width="14.7109375" customWidth="1"/>
    <col min="4" max="4" width="28.140625" customWidth="1"/>
    <col min="5" max="5" width="42.140625" customWidth="1"/>
    <col min="6" max="6" width="21.42578125" bestFit="1" customWidth="1"/>
    <col min="7" max="8" width="13.42578125" bestFit="1" customWidth="1"/>
    <col min="9" max="11" width="13.28515625" bestFit="1" customWidth="1"/>
    <col min="12" max="12" width="13.42578125" bestFit="1" customWidth="1"/>
    <col min="13" max="13" width="12.140625" bestFit="1" customWidth="1"/>
    <col min="14" max="14" width="13.42578125" bestFit="1" customWidth="1"/>
    <col min="15" max="15" width="16" bestFit="1" customWidth="1"/>
    <col min="16" max="16" width="13.42578125" bestFit="1" customWidth="1"/>
    <col min="17" max="18" width="13.28515625" bestFit="1" customWidth="1"/>
    <col min="19" max="19" width="18.7109375" bestFit="1" customWidth="1"/>
    <col min="20" max="20" width="17.5703125" bestFit="1" customWidth="1"/>
    <col min="21" max="21" width="13.42578125" bestFit="1" customWidth="1"/>
    <col min="22" max="22" width="37.140625" customWidth="1"/>
    <col min="23" max="23" width="19.5703125" bestFit="1" customWidth="1"/>
    <col min="24" max="25" width="3.28515625" customWidth="1"/>
    <col min="26" max="26" width="2.85546875" customWidth="1"/>
    <col min="27" max="27" width="4.28515625" customWidth="1"/>
    <col min="28" max="28" width="3.140625" customWidth="1"/>
    <col min="29" max="29" width="10.85546875" customWidth="1"/>
    <col min="30" max="30" width="12.85546875" customWidth="1"/>
    <col min="31" max="31" width="15" bestFit="1" customWidth="1"/>
    <col min="32" max="32" width="9.28515625" customWidth="1"/>
  </cols>
  <sheetData>
    <row r="1" spans="1:32" x14ac:dyDescent="0.2">
      <c r="C1" s="540"/>
      <c r="D1" t="s">
        <v>1390</v>
      </c>
    </row>
    <row r="2" spans="1:32" ht="18" customHeight="1" x14ac:dyDescent="0.2">
      <c r="C2" s="566"/>
      <c r="E2" t="s">
        <v>1498</v>
      </c>
      <c r="T2" s="564"/>
      <c r="U2" s="564"/>
      <c r="V2" s="564"/>
      <c r="AE2" s="489" t="s">
        <v>0</v>
      </c>
    </row>
    <row r="3" spans="1:32" ht="15.75" customHeight="1" thickBot="1" x14ac:dyDescent="0.25">
      <c r="C3" s="541"/>
      <c r="E3" t="s">
        <v>1499</v>
      </c>
      <c r="T3" s="565"/>
      <c r="U3" s="565"/>
      <c r="V3" s="1001" t="s">
        <v>1588</v>
      </c>
      <c r="W3" s="1001"/>
      <c r="AE3" s="490">
        <f ca="1">TODAY()</f>
        <v>44382</v>
      </c>
    </row>
    <row r="4" spans="1:32" ht="14.25" customHeight="1" thickBot="1" x14ac:dyDescent="0.25">
      <c r="A4" s="988" t="s">
        <v>2</v>
      </c>
      <c r="B4" s="990" t="s">
        <v>3</v>
      </c>
      <c r="C4" s="990" t="s">
        <v>4</v>
      </c>
      <c r="D4" s="991" t="s">
        <v>5</v>
      </c>
      <c r="E4" s="991" t="s">
        <v>6</v>
      </c>
      <c r="F4" s="991" t="s">
        <v>7</v>
      </c>
      <c r="G4" s="993" t="s">
        <v>1474</v>
      </c>
      <c r="H4" s="993"/>
      <c r="I4" s="993"/>
      <c r="J4" s="993"/>
      <c r="K4" s="993"/>
      <c r="L4" s="993"/>
      <c r="M4" s="993"/>
      <c r="N4" s="993"/>
      <c r="O4" s="993"/>
      <c r="P4" s="993"/>
      <c r="Q4" s="993"/>
      <c r="R4" s="993"/>
      <c r="S4" s="993"/>
      <c r="T4" s="990" t="s">
        <v>241</v>
      </c>
      <c r="U4" s="995" t="s">
        <v>8</v>
      </c>
      <c r="V4" s="991" t="s">
        <v>9</v>
      </c>
      <c r="W4" s="991" t="s">
        <v>10</v>
      </c>
      <c r="X4" s="994" t="s">
        <v>11</v>
      </c>
      <c r="Y4" s="994"/>
      <c r="Z4" s="994"/>
      <c r="AA4" s="994"/>
      <c r="AB4" s="994"/>
      <c r="AC4" s="995" t="s">
        <v>1421</v>
      </c>
      <c r="AD4" s="999" t="s">
        <v>243</v>
      </c>
      <c r="AE4" s="486" t="s">
        <v>820</v>
      </c>
      <c r="AF4" s="997" t="s">
        <v>15</v>
      </c>
    </row>
    <row r="5" spans="1:32" ht="39.75" customHeight="1" thickTop="1" thickBot="1" x14ac:dyDescent="0.25">
      <c r="A5" s="989"/>
      <c r="B5" s="959"/>
      <c r="C5" s="959"/>
      <c r="D5" s="992"/>
      <c r="E5" s="992"/>
      <c r="F5" s="992"/>
      <c r="G5" s="266" t="s">
        <v>822</v>
      </c>
      <c r="H5" s="266" t="s">
        <v>823</v>
      </c>
      <c r="I5" s="266" t="s">
        <v>824</v>
      </c>
      <c r="J5" s="266" t="s">
        <v>825</v>
      </c>
      <c r="K5" s="266" t="s">
        <v>826</v>
      </c>
      <c r="L5" s="266" t="s">
        <v>827</v>
      </c>
      <c r="M5" s="266" t="s">
        <v>828</v>
      </c>
      <c r="N5" s="266" t="s">
        <v>829</v>
      </c>
      <c r="O5" s="266" t="s">
        <v>830</v>
      </c>
      <c r="P5" s="266" t="s">
        <v>831</v>
      </c>
      <c r="Q5" s="266" t="s">
        <v>832</v>
      </c>
      <c r="R5" s="266" t="s">
        <v>833</v>
      </c>
      <c r="S5" s="266" t="s">
        <v>1475</v>
      </c>
      <c r="T5" s="992"/>
      <c r="U5" s="996"/>
      <c r="V5" s="992"/>
      <c r="W5" s="992"/>
      <c r="X5" s="487" t="s">
        <v>16</v>
      </c>
      <c r="Y5" s="487" t="s">
        <v>17</v>
      </c>
      <c r="Z5" s="487" t="s">
        <v>18</v>
      </c>
      <c r="AA5" s="487" t="s">
        <v>19</v>
      </c>
      <c r="AB5" s="487" t="s">
        <v>20</v>
      </c>
      <c r="AC5" s="996"/>
      <c r="AD5" s="1000"/>
      <c r="AE5" s="488" t="s">
        <v>244</v>
      </c>
      <c r="AF5" s="998"/>
    </row>
    <row r="6" spans="1:32" s="541" customFormat="1" ht="39" thickBot="1" x14ac:dyDescent="0.25">
      <c r="A6" s="557" t="s">
        <v>1288</v>
      </c>
      <c r="B6" s="280" t="s">
        <v>1289</v>
      </c>
      <c r="C6" s="280" t="s">
        <v>1302</v>
      </c>
      <c r="D6" s="290" t="s">
        <v>1291</v>
      </c>
      <c r="E6" s="290" t="s">
        <v>1292</v>
      </c>
      <c r="F6" s="291">
        <v>130089.93</v>
      </c>
      <c r="G6" s="542">
        <v>10840.83</v>
      </c>
      <c r="H6" s="542">
        <v>10840.83</v>
      </c>
      <c r="I6" s="542">
        <v>10840.83</v>
      </c>
      <c r="J6" s="542">
        <v>10840.83</v>
      </c>
      <c r="K6" s="542">
        <v>10840.83</v>
      </c>
      <c r="L6" s="542">
        <v>10840.83</v>
      </c>
      <c r="M6" s="542">
        <f>10840.83+1080</f>
        <v>11920.83</v>
      </c>
      <c r="N6" s="542">
        <v>10840.83</v>
      </c>
      <c r="O6" s="542">
        <v>10840.83</v>
      </c>
      <c r="P6" s="542">
        <v>0</v>
      </c>
      <c r="Q6" s="542">
        <v>0</v>
      </c>
      <c r="R6" s="542">
        <v>0</v>
      </c>
      <c r="S6" s="360">
        <f>SUM(G6:R6)</f>
        <v>98647.47</v>
      </c>
      <c r="T6" s="361">
        <f t="shared" ref="T6:T34" ca="1" si="0">U6-$AE$3</f>
        <v>-2499</v>
      </c>
      <c r="U6" s="285">
        <v>41883</v>
      </c>
      <c r="V6" s="286" t="s">
        <v>1293</v>
      </c>
      <c r="W6" s="362" t="s">
        <v>1301</v>
      </c>
      <c r="X6" s="287"/>
      <c r="Y6" s="287"/>
      <c r="Z6" s="287"/>
      <c r="AA6" s="287"/>
      <c r="AB6" s="287"/>
      <c r="AC6" s="285">
        <v>41822</v>
      </c>
      <c r="AD6" s="294">
        <v>41519</v>
      </c>
      <c r="AE6" s="363">
        <f ca="1">TODAY()-DATE(YEAR(AD6)+6,MONTH(AD6),DAY(AD6))</f>
        <v>672</v>
      </c>
      <c r="AF6" s="280" t="s">
        <v>48</v>
      </c>
    </row>
    <row r="7" spans="1:32" s="541" customFormat="1" ht="39" thickBot="1" x14ac:dyDescent="0.25">
      <c r="A7" s="474" t="s">
        <v>790</v>
      </c>
      <c r="B7" s="485" t="s">
        <v>23</v>
      </c>
      <c r="C7" s="299" t="s">
        <v>1303</v>
      </c>
      <c r="D7" s="301" t="s">
        <v>1143</v>
      </c>
      <c r="E7" s="464" t="s">
        <v>1530</v>
      </c>
      <c r="F7" s="482">
        <v>0</v>
      </c>
      <c r="G7" s="542">
        <v>0</v>
      </c>
      <c r="H7" s="542">
        <f>1987.5+2142.22</f>
        <v>4129.7199999999993</v>
      </c>
      <c r="I7" s="542">
        <v>0</v>
      </c>
      <c r="J7" s="542">
        <v>0</v>
      </c>
      <c r="K7" s="542">
        <v>0</v>
      </c>
      <c r="L7" s="542">
        <v>0</v>
      </c>
      <c r="M7" s="542">
        <v>0</v>
      </c>
      <c r="N7" s="542">
        <v>0</v>
      </c>
      <c r="O7" s="542">
        <v>0</v>
      </c>
      <c r="P7" s="542">
        <v>0</v>
      </c>
      <c r="Q7" s="542">
        <v>0</v>
      </c>
      <c r="R7" s="542">
        <v>0</v>
      </c>
      <c r="S7" s="360">
        <f>SUM(G7:R7)</f>
        <v>4129.7199999999993</v>
      </c>
      <c r="T7" s="361">
        <f t="shared" ca="1" si="0"/>
        <v>-2523</v>
      </c>
      <c r="U7" s="303">
        <v>41859</v>
      </c>
      <c r="V7" s="359" t="s">
        <v>1298</v>
      </c>
      <c r="W7" s="362" t="s">
        <v>1306</v>
      </c>
      <c r="X7" s="479"/>
      <c r="Y7" s="479"/>
      <c r="Z7" s="479"/>
      <c r="AA7" s="479"/>
      <c r="AB7" s="479"/>
      <c r="AC7" s="306">
        <v>41799</v>
      </c>
      <c r="AD7" s="307">
        <v>41130</v>
      </c>
      <c r="AE7" s="363">
        <f ca="1">TODAY()-DATE(YEAR(AD7)+5,MONTH(AD7),DAY(AD7))</f>
        <v>1426</v>
      </c>
      <c r="AF7" s="474" t="s">
        <v>1295</v>
      </c>
    </row>
    <row r="8" spans="1:32" s="541" customFormat="1" ht="39" thickBot="1" x14ac:dyDescent="0.25">
      <c r="A8" s="474" t="s">
        <v>1294</v>
      </c>
      <c r="B8" s="299" t="s">
        <v>1315</v>
      </c>
      <c r="C8" s="299" t="s">
        <v>37</v>
      </c>
      <c r="D8" s="301" t="s">
        <v>1259</v>
      </c>
      <c r="E8" s="301" t="s">
        <v>1260</v>
      </c>
      <c r="F8" s="302" t="s">
        <v>1304</v>
      </c>
      <c r="G8" s="542">
        <v>0</v>
      </c>
      <c r="H8" s="542">
        <v>0</v>
      </c>
      <c r="I8" s="542">
        <v>0</v>
      </c>
      <c r="J8" s="542">
        <v>0</v>
      </c>
      <c r="K8" s="542">
        <v>0</v>
      </c>
      <c r="L8" s="542">
        <v>0</v>
      </c>
      <c r="M8" s="542">
        <v>0</v>
      </c>
      <c r="N8" s="542">
        <v>0</v>
      </c>
      <c r="O8" s="542">
        <v>0</v>
      </c>
      <c r="P8" s="542">
        <v>0</v>
      </c>
      <c r="Q8" s="542">
        <v>0</v>
      </c>
      <c r="R8" s="542">
        <v>0</v>
      </c>
      <c r="S8" s="360">
        <f>SUM(G8:R8)</f>
        <v>0</v>
      </c>
      <c r="T8" s="361">
        <f t="shared" ca="1" si="0"/>
        <v>-2531</v>
      </c>
      <c r="U8" s="303">
        <v>41851</v>
      </c>
      <c r="V8" s="359" t="s">
        <v>1299</v>
      </c>
      <c r="W8" s="362" t="s">
        <v>1305</v>
      </c>
      <c r="X8" s="305"/>
      <c r="Y8" s="305"/>
      <c r="Z8" s="305"/>
      <c r="AA8" s="305"/>
      <c r="AB8" s="305"/>
      <c r="AC8" s="306"/>
      <c r="AD8" s="307">
        <v>41487</v>
      </c>
      <c r="AE8" s="363">
        <f t="shared" ref="AE8:AE19" ca="1" si="1">TODAY()-DATE(YEAR(AD8)+6,MONTH(AD8),DAY(AD8))</f>
        <v>704</v>
      </c>
      <c r="AF8" s="299" t="s">
        <v>48</v>
      </c>
    </row>
    <row r="9" spans="1:32" s="311" customFormat="1" ht="30" customHeight="1" thickBot="1" x14ac:dyDescent="0.25">
      <c r="A9" s="299" t="s">
        <v>589</v>
      </c>
      <c r="B9" s="299" t="s">
        <v>1353</v>
      </c>
      <c r="C9" s="299" t="s">
        <v>56</v>
      </c>
      <c r="D9" s="301" t="s">
        <v>138</v>
      </c>
      <c r="E9" s="301" t="s">
        <v>591</v>
      </c>
      <c r="F9" s="302" t="s">
        <v>1358</v>
      </c>
      <c r="G9" s="360">
        <v>675.93</v>
      </c>
      <c r="H9" s="360">
        <v>675.93</v>
      </c>
      <c r="I9" s="360">
        <v>675.93</v>
      </c>
      <c r="J9" s="360">
        <v>675.93</v>
      </c>
      <c r="K9" s="360">
        <v>675.93</v>
      </c>
      <c r="L9" s="360">
        <v>675.93</v>
      </c>
      <c r="M9" s="360">
        <v>0</v>
      </c>
      <c r="N9" s="360">
        <v>0</v>
      </c>
      <c r="O9" s="360">
        <v>0</v>
      </c>
      <c r="P9" s="360">
        <v>0</v>
      </c>
      <c r="Q9" s="360">
        <v>0</v>
      </c>
      <c r="R9" s="360">
        <v>0</v>
      </c>
      <c r="S9" s="360">
        <f t="shared" ref="S9:S56" si="2">SUM(G9:R9)</f>
        <v>4055.5799999999995</v>
      </c>
      <c r="T9" s="361">
        <f t="shared" ca="1" si="0"/>
        <v>-2584</v>
      </c>
      <c r="U9" s="303">
        <v>41798</v>
      </c>
      <c r="V9" s="359" t="s">
        <v>1359</v>
      </c>
      <c r="W9" s="362" t="s">
        <v>740</v>
      </c>
      <c r="X9" s="305"/>
      <c r="Y9" s="305"/>
      <c r="Z9" s="305"/>
      <c r="AA9" s="305"/>
      <c r="AB9" s="305"/>
      <c r="AC9" s="306">
        <v>41745</v>
      </c>
      <c r="AD9" s="307">
        <v>39973</v>
      </c>
      <c r="AE9" s="363">
        <f t="shared" ca="1" si="1"/>
        <v>2218</v>
      </c>
      <c r="AF9" s="299" t="s">
        <v>48</v>
      </c>
    </row>
    <row r="10" spans="1:32" s="311" customFormat="1" ht="30" customHeight="1" thickBot="1" x14ac:dyDescent="0.25">
      <c r="A10" s="299" t="s">
        <v>579</v>
      </c>
      <c r="B10" s="299" t="s">
        <v>1353</v>
      </c>
      <c r="C10" s="299" t="s">
        <v>56</v>
      </c>
      <c r="D10" s="301" t="s">
        <v>580</v>
      </c>
      <c r="E10" s="301" t="s">
        <v>581</v>
      </c>
      <c r="F10" s="302" t="s">
        <v>1565</v>
      </c>
      <c r="G10" s="360">
        <v>203.39</v>
      </c>
      <c r="H10" s="360">
        <v>203.39</v>
      </c>
      <c r="I10" s="360">
        <v>203.39</v>
      </c>
      <c r="J10" s="360">
        <v>203.39</v>
      </c>
      <c r="K10" s="360">
        <v>203.39</v>
      </c>
      <c r="L10" s="360">
        <v>203.39</v>
      </c>
      <c r="M10" s="360">
        <v>203.39</v>
      </c>
      <c r="N10" s="360">
        <v>203.39</v>
      </c>
      <c r="O10" s="360">
        <v>203.39</v>
      </c>
      <c r="P10" s="360">
        <v>203.39</v>
      </c>
      <c r="Q10" s="360">
        <v>203.39</v>
      </c>
      <c r="R10" s="360">
        <v>203.39</v>
      </c>
      <c r="S10" s="360">
        <f t="shared" si="2"/>
        <v>2440.6799999999994</v>
      </c>
      <c r="T10" s="361">
        <f t="shared" ca="1" si="0"/>
        <v>-2213</v>
      </c>
      <c r="U10" s="303">
        <v>42169</v>
      </c>
      <c r="V10" s="359" t="s">
        <v>1692</v>
      </c>
      <c r="W10" s="362" t="s">
        <v>742</v>
      </c>
      <c r="X10" s="305"/>
      <c r="Y10" s="305"/>
      <c r="Z10" s="305"/>
      <c r="AA10" s="305"/>
      <c r="AB10" s="305"/>
      <c r="AC10" s="306"/>
      <c r="AD10" s="307">
        <v>39979</v>
      </c>
      <c r="AE10" s="363">
        <f t="shared" ca="1" si="1"/>
        <v>2212</v>
      </c>
      <c r="AF10" s="299" t="s">
        <v>48</v>
      </c>
    </row>
    <row r="11" spans="1:32" s="311" customFormat="1" ht="39.75" customHeight="1" thickBot="1" x14ac:dyDescent="0.25">
      <c r="A11" s="299" t="s">
        <v>360</v>
      </c>
      <c r="B11" s="299" t="s">
        <v>1353</v>
      </c>
      <c r="C11" s="299" t="s">
        <v>56</v>
      </c>
      <c r="D11" s="301" t="s">
        <v>212</v>
      </c>
      <c r="E11" s="301" t="s">
        <v>1666</v>
      </c>
      <c r="F11" s="302">
        <v>7750.92</v>
      </c>
      <c r="G11" s="360">
        <v>645.91</v>
      </c>
      <c r="H11" s="360">
        <v>645.91</v>
      </c>
      <c r="I11" s="360">
        <v>645.91</v>
      </c>
      <c r="J11" s="360">
        <v>660</v>
      </c>
      <c r="K11" s="360">
        <v>660</v>
      </c>
      <c r="L11" s="360">
        <v>660</v>
      </c>
      <c r="M11" s="360">
        <v>660</v>
      </c>
      <c r="N11" s="360">
        <v>0</v>
      </c>
      <c r="O11" s="360">
        <v>0</v>
      </c>
      <c r="P11" s="360">
        <v>0</v>
      </c>
      <c r="Q11" s="360">
        <v>0</v>
      </c>
      <c r="R11" s="360">
        <v>0</v>
      </c>
      <c r="S11" s="360">
        <f t="shared" si="2"/>
        <v>4577.7299999999996</v>
      </c>
      <c r="T11" s="361">
        <f t="shared" ca="1" si="0"/>
        <v>-2574</v>
      </c>
      <c r="U11" s="303">
        <v>41808</v>
      </c>
      <c r="V11" s="359" t="s">
        <v>1255</v>
      </c>
      <c r="W11" s="362" t="s">
        <v>726</v>
      </c>
      <c r="X11" s="305"/>
      <c r="Y11" s="305"/>
      <c r="Z11" s="305"/>
      <c r="AA11" s="305"/>
      <c r="AB11" s="305"/>
      <c r="AC11" s="546">
        <v>41688</v>
      </c>
      <c r="AD11" s="307">
        <v>39617</v>
      </c>
      <c r="AE11" s="363">
        <f t="shared" ca="1" si="1"/>
        <v>2574</v>
      </c>
      <c r="AF11" s="299" t="s">
        <v>48</v>
      </c>
    </row>
    <row r="12" spans="1:32" s="311" customFormat="1" ht="30" customHeight="1" thickBot="1" x14ac:dyDescent="0.25">
      <c r="A12" s="299" t="s">
        <v>356</v>
      </c>
      <c r="B12" s="299" t="s">
        <v>1347</v>
      </c>
      <c r="C12" s="299" t="s">
        <v>56</v>
      </c>
      <c r="D12" s="301" t="s">
        <v>62</v>
      </c>
      <c r="E12" s="301" t="s">
        <v>357</v>
      </c>
      <c r="F12" s="302">
        <v>8004.24</v>
      </c>
      <c r="G12" s="360">
        <v>667.02</v>
      </c>
      <c r="H12" s="360">
        <v>667.02</v>
      </c>
      <c r="I12" s="360">
        <v>667.02</v>
      </c>
      <c r="J12" s="360">
        <v>667.02</v>
      </c>
      <c r="K12" s="360">
        <v>667.02</v>
      </c>
      <c r="L12" s="360">
        <v>710</v>
      </c>
      <c r="M12" s="360">
        <v>0</v>
      </c>
      <c r="N12" s="360">
        <v>0</v>
      </c>
      <c r="O12" s="360">
        <v>0</v>
      </c>
      <c r="P12" s="360">
        <v>0</v>
      </c>
      <c r="Q12" s="360">
        <v>0</v>
      </c>
      <c r="R12" s="360">
        <v>0</v>
      </c>
      <c r="S12" s="360">
        <f t="shared" si="2"/>
        <v>4045.1</v>
      </c>
      <c r="T12" s="361">
        <f t="shared" ca="1" si="0"/>
        <v>-2572</v>
      </c>
      <c r="U12" s="303">
        <v>41810</v>
      </c>
      <c r="V12" s="359" t="s">
        <v>1410</v>
      </c>
      <c r="W12" s="362" t="s">
        <v>743</v>
      </c>
      <c r="X12" s="305"/>
      <c r="Y12" s="305"/>
      <c r="Z12" s="305"/>
      <c r="AA12" s="305"/>
      <c r="AB12" s="305"/>
      <c r="AC12" s="306">
        <v>41688</v>
      </c>
      <c r="AD12" s="307">
        <v>39619</v>
      </c>
      <c r="AE12" s="363">
        <f t="shared" ca="1" si="1"/>
        <v>2572</v>
      </c>
      <c r="AF12" s="299" t="s">
        <v>48</v>
      </c>
    </row>
    <row r="13" spans="1:32" s="311" customFormat="1" ht="30" customHeight="1" thickBot="1" x14ac:dyDescent="0.25">
      <c r="A13" s="299" t="s">
        <v>1452</v>
      </c>
      <c r="B13" s="300" t="s">
        <v>585</v>
      </c>
      <c r="C13" s="299" t="s">
        <v>613</v>
      </c>
      <c r="D13" s="301" t="s">
        <v>586</v>
      </c>
      <c r="E13" s="301" t="s">
        <v>1252</v>
      </c>
      <c r="F13" s="302">
        <v>1317990.76</v>
      </c>
      <c r="G13" s="360">
        <v>111498.91</v>
      </c>
      <c r="H13" s="360">
        <v>110823.32</v>
      </c>
      <c r="I13" s="360">
        <v>108266.76</v>
      </c>
      <c r="J13" s="360">
        <v>105544.43</v>
      </c>
      <c r="K13" s="360">
        <v>105604.22</v>
      </c>
      <c r="L13" s="360">
        <v>101404.78</v>
      </c>
      <c r="M13" s="360">
        <v>99192.74</v>
      </c>
      <c r="N13" s="360">
        <v>108428.94</v>
      </c>
      <c r="O13" s="360">
        <v>0</v>
      </c>
      <c r="P13" s="360">
        <v>0</v>
      </c>
      <c r="Q13" s="360">
        <v>0</v>
      </c>
      <c r="R13" s="360">
        <v>0</v>
      </c>
      <c r="S13" s="360">
        <f t="shared" si="2"/>
        <v>850764.10000000009</v>
      </c>
      <c r="T13" s="361">
        <f t="shared" ca="1" si="0"/>
        <v>-2500</v>
      </c>
      <c r="U13" s="303">
        <v>41882</v>
      </c>
      <c r="V13" s="359" t="s">
        <v>1453</v>
      </c>
      <c r="W13" s="362" t="s">
        <v>733</v>
      </c>
      <c r="X13" s="305"/>
      <c r="Y13" s="305"/>
      <c r="Z13" s="305"/>
      <c r="AA13" s="305"/>
      <c r="AB13" s="305"/>
      <c r="AC13" s="306">
        <v>41820</v>
      </c>
      <c r="AD13" s="307">
        <v>40037</v>
      </c>
      <c r="AE13" s="363">
        <f t="shared" ca="1" si="1"/>
        <v>2154</v>
      </c>
      <c r="AF13" s="299" t="s">
        <v>96</v>
      </c>
    </row>
    <row r="14" spans="1:32" s="311" customFormat="1" ht="26.25" thickBot="1" x14ac:dyDescent="0.25">
      <c r="A14" s="299" t="s">
        <v>412</v>
      </c>
      <c r="B14" s="299" t="s">
        <v>413</v>
      </c>
      <c r="C14" s="299" t="s">
        <v>613</v>
      </c>
      <c r="D14" s="301" t="s">
        <v>414</v>
      </c>
      <c r="E14" s="301" t="s">
        <v>415</v>
      </c>
      <c r="F14" s="302">
        <v>90271.1</v>
      </c>
      <c r="G14" s="360">
        <v>0</v>
      </c>
      <c r="H14" s="360">
        <v>0</v>
      </c>
      <c r="I14" s="360">
        <v>0</v>
      </c>
      <c r="J14" s="360">
        <v>0</v>
      </c>
      <c r="K14" s="360">
        <v>0</v>
      </c>
      <c r="L14" s="360">
        <v>0</v>
      </c>
      <c r="M14" s="360">
        <v>0</v>
      </c>
      <c r="N14" s="360">
        <v>0</v>
      </c>
      <c r="O14" s="360">
        <v>0</v>
      </c>
      <c r="P14" s="360">
        <v>0</v>
      </c>
      <c r="Q14" s="360">
        <v>0</v>
      </c>
      <c r="R14" s="360">
        <v>0</v>
      </c>
      <c r="S14" s="284">
        <f t="shared" si="2"/>
        <v>0</v>
      </c>
      <c r="T14" s="274">
        <f t="shared" ca="1" si="0"/>
        <v>-3241</v>
      </c>
      <c r="U14" s="303">
        <v>41141</v>
      </c>
      <c r="V14" s="304" t="s">
        <v>771</v>
      </c>
      <c r="W14" s="362" t="s">
        <v>756</v>
      </c>
      <c r="X14" s="305"/>
      <c r="Y14" s="305"/>
      <c r="Z14" s="305"/>
      <c r="AA14" s="305"/>
      <c r="AB14" s="305"/>
      <c r="AC14" s="306">
        <v>41578</v>
      </c>
      <c r="AD14" s="307">
        <v>39680</v>
      </c>
      <c r="AE14" s="278">
        <f t="shared" ca="1" si="1"/>
        <v>2511</v>
      </c>
      <c r="AF14" s="299" t="s">
        <v>41</v>
      </c>
    </row>
    <row r="15" spans="1:32" s="311" customFormat="1" ht="26.25" thickBot="1" x14ac:dyDescent="0.25">
      <c r="A15" s="299" t="s">
        <v>711</v>
      </c>
      <c r="B15" s="299" t="s">
        <v>23</v>
      </c>
      <c r="C15" s="299" t="s">
        <v>61</v>
      </c>
      <c r="D15" s="301" t="s">
        <v>1580</v>
      </c>
      <c r="E15" s="301" t="s">
        <v>712</v>
      </c>
      <c r="F15" s="302" t="s">
        <v>713</v>
      </c>
      <c r="G15" s="360">
        <v>0</v>
      </c>
      <c r="H15" s="360">
        <v>0</v>
      </c>
      <c r="I15" s="360">
        <v>0</v>
      </c>
      <c r="J15" s="360">
        <v>1227.5</v>
      </c>
      <c r="K15" s="360">
        <v>309.5</v>
      </c>
      <c r="L15" s="360">
        <v>559</v>
      </c>
      <c r="M15" s="360">
        <v>17962</v>
      </c>
      <c r="N15" s="360">
        <v>421</v>
      </c>
      <c r="O15" s="360">
        <v>2145.3000000000002</v>
      </c>
      <c r="P15" s="360">
        <v>246</v>
      </c>
      <c r="Q15" s="360">
        <v>112</v>
      </c>
      <c r="R15" s="360">
        <v>95</v>
      </c>
      <c r="S15" s="360">
        <f t="shared" si="2"/>
        <v>23077.3</v>
      </c>
      <c r="T15" s="361">
        <f t="shared" ca="1" si="0"/>
        <v>-2083</v>
      </c>
      <c r="U15" s="303">
        <v>42299</v>
      </c>
      <c r="V15" s="359" t="s">
        <v>1589</v>
      </c>
      <c r="W15" s="362" t="s">
        <v>749</v>
      </c>
      <c r="X15" s="305"/>
      <c r="Y15" s="305"/>
      <c r="Z15" s="305"/>
      <c r="AA15" s="305"/>
      <c r="AB15" s="305"/>
      <c r="AC15" s="306"/>
      <c r="AD15" s="307">
        <v>40473</v>
      </c>
      <c r="AE15" s="363">
        <f t="shared" ca="1" si="1"/>
        <v>1717</v>
      </c>
      <c r="AF15" s="299" t="s">
        <v>48</v>
      </c>
    </row>
    <row r="16" spans="1:32" s="311" customFormat="1" ht="26.25" thickBot="1" x14ac:dyDescent="0.25">
      <c r="A16" s="299" t="s">
        <v>628</v>
      </c>
      <c r="B16" s="299" t="s">
        <v>585</v>
      </c>
      <c r="C16" s="299" t="s">
        <v>617</v>
      </c>
      <c r="D16" s="312" t="s">
        <v>44</v>
      </c>
      <c r="E16" s="337" t="s">
        <v>1629</v>
      </c>
      <c r="F16" s="313">
        <v>47516.76</v>
      </c>
      <c r="G16" s="544">
        <v>3526.57</v>
      </c>
      <c r="H16" s="568">
        <v>3920.41</v>
      </c>
      <c r="I16" s="360">
        <v>3723.49</v>
      </c>
      <c r="J16" s="360">
        <v>3723.49</v>
      </c>
      <c r="K16" s="360">
        <v>3723.49</v>
      </c>
      <c r="L16" s="360">
        <v>3723.49</v>
      </c>
      <c r="M16" s="360">
        <v>3723.49</v>
      </c>
      <c r="N16" s="360">
        <v>3723.49</v>
      </c>
      <c r="O16" s="360">
        <v>3723.49</v>
      </c>
      <c r="P16" s="360">
        <v>3723.49</v>
      </c>
      <c r="Q16" s="360">
        <v>3723.49</v>
      </c>
      <c r="R16" s="360">
        <v>3723.49</v>
      </c>
      <c r="S16" s="360">
        <f t="shared" si="2"/>
        <v>44681.879999999983</v>
      </c>
      <c r="T16" s="361">
        <f t="shared" ca="1" si="0"/>
        <v>-2044</v>
      </c>
      <c r="U16" s="303">
        <v>42338</v>
      </c>
      <c r="V16" s="326" t="s">
        <v>1630</v>
      </c>
      <c r="W16" s="362" t="s">
        <v>746</v>
      </c>
      <c r="X16" s="305"/>
      <c r="Y16" s="305"/>
      <c r="Z16" s="305"/>
      <c r="AA16" s="305"/>
      <c r="AB16" s="305"/>
      <c r="AC16" s="303"/>
      <c r="AD16" s="316">
        <v>40147</v>
      </c>
      <c r="AE16" s="363">
        <f t="shared" ca="1" si="1"/>
        <v>2044</v>
      </c>
      <c r="AF16" s="299" t="s">
        <v>48</v>
      </c>
    </row>
    <row r="17" spans="1:32" s="311" customFormat="1" ht="26.25" thickBot="1" x14ac:dyDescent="0.25">
      <c r="A17" s="299" t="s">
        <v>658</v>
      </c>
      <c r="B17" s="299" t="s">
        <v>1345</v>
      </c>
      <c r="C17" s="299" t="s">
        <v>56</v>
      </c>
      <c r="D17" s="301" t="s">
        <v>171</v>
      </c>
      <c r="E17" s="301" t="s">
        <v>1473</v>
      </c>
      <c r="F17" s="302" t="s">
        <v>659</v>
      </c>
      <c r="G17" s="360">
        <v>1260.69</v>
      </c>
      <c r="H17" s="360">
        <v>861.01</v>
      </c>
      <c r="I17" s="360">
        <f>1271.1</f>
        <v>1271.0999999999999</v>
      </c>
      <c r="J17" s="360">
        <v>812.24</v>
      </c>
      <c r="K17" s="360">
        <v>884.58</v>
      </c>
      <c r="L17" s="360">
        <v>976.02</v>
      </c>
      <c r="M17" s="360">
        <v>902.21</v>
      </c>
      <c r="N17" s="360">
        <v>1495.63</v>
      </c>
      <c r="O17" s="360">
        <v>1220.68</v>
      </c>
      <c r="P17" s="360">
        <v>824.67</v>
      </c>
      <c r="Q17" s="360">
        <v>3955.11</v>
      </c>
      <c r="R17" s="360">
        <v>3992.02</v>
      </c>
      <c r="S17" s="360">
        <f t="shared" si="2"/>
        <v>18455.96</v>
      </c>
      <c r="T17" s="361">
        <f t="shared" ca="1" si="0"/>
        <v>-2374</v>
      </c>
      <c r="U17" s="303">
        <v>42008</v>
      </c>
      <c r="V17" s="359" t="s">
        <v>1479</v>
      </c>
      <c r="W17" s="362" t="s">
        <v>753</v>
      </c>
      <c r="X17" s="305"/>
      <c r="Y17" s="305"/>
      <c r="Z17" s="305"/>
      <c r="AA17" s="305"/>
      <c r="AB17" s="305"/>
      <c r="AC17" s="555">
        <v>41953</v>
      </c>
      <c r="AD17" s="307">
        <v>40182</v>
      </c>
      <c r="AE17" s="363">
        <f t="shared" ca="1" si="1"/>
        <v>2009</v>
      </c>
      <c r="AF17" s="299" t="s">
        <v>54</v>
      </c>
    </row>
    <row r="18" spans="1:32" s="589" customFormat="1" ht="30" customHeight="1" thickBot="1" x14ac:dyDescent="0.25">
      <c r="A18" s="329" t="s">
        <v>599</v>
      </c>
      <c r="B18" s="329" t="s">
        <v>600</v>
      </c>
      <c r="C18" s="329" t="s">
        <v>613</v>
      </c>
      <c r="D18" s="379" t="s">
        <v>1054</v>
      </c>
      <c r="E18" s="379" t="s">
        <v>696</v>
      </c>
      <c r="F18" s="331">
        <v>384683.91</v>
      </c>
      <c r="G18" s="571">
        <v>31905.47</v>
      </c>
      <c r="H18" s="571">
        <v>31905.47</v>
      </c>
      <c r="I18" s="571">
        <v>31905.47</v>
      </c>
      <c r="J18" s="571">
        <v>31905.47</v>
      </c>
      <c r="K18" s="571">
        <v>31905.47</v>
      </c>
      <c r="L18" s="571">
        <v>31905.47</v>
      </c>
      <c r="M18" s="571">
        <v>31905.47</v>
      </c>
      <c r="N18" s="571">
        <v>31905.47</v>
      </c>
      <c r="O18" s="571">
        <v>31905.47</v>
      </c>
      <c r="P18" s="571">
        <f>31905.47+26007.73</f>
        <v>57913.2</v>
      </c>
      <c r="Q18" s="571">
        <v>35605.94</v>
      </c>
      <c r="R18" s="571">
        <v>35605.94</v>
      </c>
      <c r="S18" s="571">
        <f t="shared" si="2"/>
        <v>416274.31</v>
      </c>
      <c r="T18" s="572">
        <f t="shared" ca="1" si="0"/>
        <v>-2702</v>
      </c>
      <c r="U18" s="332">
        <v>41680</v>
      </c>
      <c r="V18" s="573" t="s">
        <v>1695</v>
      </c>
      <c r="W18" s="333" t="s">
        <v>732</v>
      </c>
      <c r="X18" s="334"/>
      <c r="Y18" s="334"/>
      <c r="Z18" s="334"/>
      <c r="AA18" s="334"/>
      <c r="AB18" s="334"/>
      <c r="AC18" s="336">
        <v>41621</v>
      </c>
      <c r="AD18" s="336">
        <v>40036</v>
      </c>
      <c r="AE18" s="574">
        <f t="shared" ca="1" si="1"/>
        <v>2155</v>
      </c>
      <c r="AF18" s="329" t="s">
        <v>48</v>
      </c>
    </row>
    <row r="19" spans="1:32" s="311" customFormat="1" ht="26.25" thickBot="1" x14ac:dyDescent="0.25">
      <c r="A19" s="326" t="s">
        <v>955</v>
      </c>
      <c r="B19" s="299" t="s">
        <v>773</v>
      </c>
      <c r="C19" s="299" t="s">
        <v>772</v>
      </c>
      <c r="D19" s="349" t="s">
        <v>1267</v>
      </c>
      <c r="E19" s="349" t="s">
        <v>1494</v>
      </c>
      <c r="F19" s="302">
        <v>177951.35999999999</v>
      </c>
      <c r="G19" s="360">
        <f>8463.53</f>
        <v>8463.5300000000007</v>
      </c>
      <c r="H19" s="360">
        <v>10446.36</v>
      </c>
      <c r="I19" s="360">
        <v>0</v>
      </c>
      <c r="J19" s="360">
        <f>8733.26</f>
        <v>8733.26</v>
      </c>
      <c r="K19" s="360">
        <v>9146.61</v>
      </c>
      <c r="L19" s="360">
        <f>9961.59</f>
        <v>9961.59</v>
      </c>
      <c r="M19" s="360">
        <f>8849.85</f>
        <v>8849.85</v>
      </c>
      <c r="N19" s="360">
        <v>9707.0300000000007</v>
      </c>
      <c r="O19" s="360">
        <v>9785.77</v>
      </c>
      <c r="P19" s="360">
        <v>9207.24</v>
      </c>
      <c r="Q19" s="360">
        <f>9052.36</f>
        <v>9052.36</v>
      </c>
      <c r="R19" s="360">
        <v>9326.4699999999993</v>
      </c>
      <c r="S19" s="360">
        <f t="shared" si="2"/>
        <v>102680.07</v>
      </c>
      <c r="T19" s="361">
        <f t="shared" ca="1" si="0"/>
        <v>-2335</v>
      </c>
      <c r="U19" s="357">
        <v>42047</v>
      </c>
      <c r="V19" s="472" t="s">
        <v>1495</v>
      </c>
      <c r="W19" s="310" t="s">
        <v>1087</v>
      </c>
      <c r="X19" s="305"/>
      <c r="Y19" s="305"/>
      <c r="Z19" s="305"/>
      <c r="AA19" s="305"/>
      <c r="AB19" s="305"/>
      <c r="AC19" s="555">
        <v>41990</v>
      </c>
      <c r="AD19" s="307">
        <v>40952</v>
      </c>
      <c r="AE19" s="363">
        <f t="shared" ca="1" si="1"/>
        <v>1238</v>
      </c>
      <c r="AF19" s="326" t="s">
        <v>48</v>
      </c>
    </row>
    <row r="20" spans="1:32" s="311" customFormat="1" ht="30" customHeight="1" thickBot="1" x14ac:dyDescent="0.25">
      <c r="A20" s="299" t="s">
        <v>688</v>
      </c>
      <c r="B20" s="299" t="s">
        <v>689</v>
      </c>
      <c r="C20" s="299" t="s">
        <v>613</v>
      </c>
      <c r="D20" s="301" t="s">
        <v>690</v>
      </c>
      <c r="E20" s="301" t="s">
        <v>691</v>
      </c>
      <c r="F20" s="302">
        <v>24600</v>
      </c>
      <c r="G20" s="360">
        <v>0</v>
      </c>
      <c r="H20" s="360">
        <v>0</v>
      </c>
      <c r="I20" s="360">
        <v>0</v>
      </c>
      <c r="J20" s="360">
        <v>0</v>
      </c>
      <c r="K20" s="360">
        <v>0</v>
      </c>
      <c r="L20" s="360">
        <v>0</v>
      </c>
      <c r="M20" s="360">
        <v>0</v>
      </c>
      <c r="N20" s="360">
        <v>0</v>
      </c>
      <c r="O20" s="360">
        <v>0</v>
      </c>
      <c r="P20" s="360">
        <v>0</v>
      </c>
      <c r="Q20" s="360">
        <v>0</v>
      </c>
      <c r="R20" s="360">
        <v>0</v>
      </c>
      <c r="S20" s="284">
        <f t="shared" si="2"/>
        <v>0</v>
      </c>
      <c r="T20" s="274">
        <f t="shared" ca="1" si="0"/>
        <v>-3060</v>
      </c>
      <c r="U20" s="303">
        <v>41322</v>
      </c>
      <c r="V20" s="304" t="s">
        <v>692</v>
      </c>
      <c r="W20" s="315" t="s">
        <v>758</v>
      </c>
      <c r="X20" s="305"/>
      <c r="Y20" s="305"/>
      <c r="Z20" s="305"/>
      <c r="AA20" s="305"/>
      <c r="AB20" s="305"/>
      <c r="AC20" s="306">
        <v>41578</v>
      </c>
      <c r="AD20" s="307">
        <v>40227</v>
      </c>
      <c r="AE20" s="278">
        <f ca="1">TODAY()-DATE(YEAR(AD20)+6,MONTH(AD20),DAY(AD20))</f>
        <v>1964</v>
      </c>
      <c r="AF20" s="299" t="s">
        <v>41</v>
      </c>
    </row>
    <row r="21" spans="1:32" s="311" customFormat="1" ht="51.75" thickBot="1" x14ac:dyDescent="0.25">
      <c r="A21" s="326" t="s">
        <v>960</v>
      </c>
      <c r="B21" s="299" t="s">
        <v>1330</v>
      </c>
      <c r="C21" s="299" t="s">
        <v>24</v>
      </c>
      <c r="D21" s="349" t="s">
        <v>961</v>
      </c>
      <c r="E21" s="349" t="s">
        <v>962</v>
      </c>
      <c r="F21" s="302">
        <v>112363.2</v>
      </c>
      <c r="G21" s="360">
        <v>9244.7999999999993</v>
      </c>
      <c r="H21" s="360">
        <v>8564.4</v>
      </c>
      <c r="I21" s="360">
        <v>9201.6</v>
      </c>
      <c r="J21" s="360">
        <v>9844.7999999999993</v>
      </c>
      <c r="K21" s="360">
        <v>9486.4</v>
      </c>
      <c r="L21" s="360">
        <v>10136</v>
      </c>
      <c r="M21" s="360">
        <v>10393.6</v>
      </c>
      <c r="N21" s="360">
        <v>12924.8</v>
      </c>
      <c r="O21" s="360">
        <v>11636.8</v>
      </c>
      <c r="P21" s="360">
        <v>11524.8</v>
      </c>
      <c r="Q21" s="360">
        <v>12471.2</v>
      </c>
      <c r="R21" s="360">
        <v>4244.8</v>
      </c>
      <c r="S21" s="360">
        <f t="shared" si="2"/>
        <v>119674</v>
      </c>
      <c r="T21" s="361">
        <f t="shared" ca="1" si="0"/>
        <v>-2324</v>
      </c>
      <c r="U21" s="303">
        <v>42058</v>
      </c>
      <c r="V21" s="351" t="s">
        <v>1497</v>
      </c>
      <c r="W21" s="310" t="s">
        <v>977</v>
      </c>
      <c r="X21" s="305"/>
      <c r="Y21" s="305"/>
      <c r="Z21" s="305"/>
      <c r="AA21" s="305"/>
      <c r="AB21" s="305"/>
      <c r="AC21" s="306">
        <v>41992</v>
      </c>
      <c r="AD21" s="307">
        <v>40963</v>
      </c>
      <c r="AE21" s="363">
        <f ca="1">TODAY()-DATE(YEAR(AD21)+6,MONTH(AD21),DAY(AD21))</f>
        <v>1227</v>
      </c>
      <c r="AF21" s="326" t="s">
        <v>96</v>
      </c>
    </row>
    <row r="22" spans="1:32" s="311" customFormat="1" ht="30" customHeight="1" thickBot="1" x14ac:dyDescent="0.25">
      <c r="A22" s="299" t="s">
        <v>801</v>
      </c>
      <c r="B22" s="299" t="s">
        <v>1347</v>
      </c>
      <c r="C22" s="299" t="s">
        <v>61</v>
      </c>
      <c r="D22" s="301" t="s">
        <v>176</v>
      </c>
      <c r="E22" s="301" t="s">
        <v>310</v>
      </c>
      <c r="F22" s="302" t="s">
        <v>802</v>
      </c>
      <c r="G22" s="360">
        <v>0</v>
      </c>
      <c r="H22" s="360">
        <v>0</v>
      </c>
      <c r="I22" s="360">
        <v>0</v>
      </c>
      <c r="J22" s="360">
        <v>0</v>
      </c>
      <c r="K22" s="360">
        <v>0</v>
      </c>
      <c r="L22" s="360">
        <v>0</v>
      </c>
      <c r="M22" s="360">
        <v>0</v>
      </c>
      <c r="N22" s="360">
        <v>0</v>
      </c>
      <c r="O22" s="360">
        <v>0</v>
      </c>
      <c r="P22" s="360">
        <v>0</v>
      </c>
      <c r="Q22" s="360">
        <v>0</v>
      </c>
      <c r="R22" s="360">
        <v>0</v>
      </c>
      <c r="S22" s="360">
        <f t="shared" si="2"/>
        <v>0</v>
      </c>
      <c r="T22" s="361">
        <f t="shared" ca="1" si="0"/>
        <v>-3053</v>
      </c>
      <c r="U22" s="303">
        <v>41329</v>
      </c>
      <c r="V22" s="359" t="s">
        <v>975</v>
      </c>
      <c r="W22" s="362" t="s">
        <v>729</v>
      </c>
      <c r="X22" s="305"/>
      <c r="Y22" s="305"/>
      <c r="Z22" s="305"/>
      <c r="AA22" s="305"/>
      <c r="AB22" s="305"/>
      <c r="AC22" s="306">
        <v>41281</v>
      </c>
      <c r="AD22" s="307">
        <v>40599</v>
      </c>
      <c r="AE22" s="363">
        <f t="shared" ref="AE22:AE33" ca="1" si="3">TODAY()-DATE(YEAR(AD22)+6,MONTH(AD22),DAY(AD22))</f>
        <v>1591</v>
      </c>
      <c r="AF22" s="299" t="s">
        <v>1349</v>
      </c>
    </row>
    <row r="23" spans="1:32" s="311" customFormat="1" ht="38.25" customHeight="1" thickBot="1" x14ac:dyDescent="0.25">
      <c r="A23" s="299" t="s">
        <v>817</v>
      </c>
      <c r="B23" s="299" t="s">
        <v>1347</v>
      </c>
      <c r="C23" s="299" t="s">
        <v>56</v>
      </c>
      <c r="D23" s="301" t="s">
        <v>198</v>
      </c>
      <c r="E23" s="301" t="s">
        <v>1210</v>
      </c>
      <c r="F23" s="302">
        <v>3091.8</v>
      </c>
      <c r="G23" s="360">
        <v>244.2</v>
      </c>
      <c r="H23" s="360">
        <v>244.2</v>
      </c>
      <c r="I23" s="360">
        <v>244.2</v>
      </c>
      <c r="J23" s="360">
        <v>257.64999999999998</v>
      </c>
      <c r="K23" s="360">
        <v>257.64999999999998</v>
      </c>
      <c r="L23" s="360">
        <v>257.64999999999998</v>
      </c>
      <c r="M23" s="360">
        <v>257.64999999999998</v>
      </c>
      <c r="N23" s="360">
        <v>257.64999999999998</v>
      </c>
      <c r="O23" s="360">
        <v>257.64999999999998</v>
      </c>
      <c r="P23" s="360">
        <v>257.64999999999998</v>
      </c>
      <c r="Q23" s="360">
        <v>257.64999999999998</v>
      </c>
      <c r="R23" s="360">
        <v>257.64999999999998</v>
      </c>
      <c r="S23" s="360">
        <f>SUM(G23:R23)</f>
        <v>3051.4500000000003</v>
      </c>
      <c r="T23" s="361">
        <f t="shared" ca="1" si="0"/>
        <v>-2319</v>
      </c>
      <c r="U23" s="303">
        <v>42063</v>
      </c>
      <c r="V23" s="359" t="s">
        <v>1496</v>
      </c>
      <c r="W23" s="362" t="s">
        <v>735</v>
      </c>
      <c r="X23" s="305"/>
      <c r="Y23" s="305"/>
      <c r="Z23" s="305"/>
      <c r="AA23" s="305"/>
      <c r="AB23" s="305"/>
      <c r="AC23" s="306">
        <v>42010</v>
      </c>
      <c r="AD23" s="307">
        <v>40603</v>
      </c>
      <c r="AE23" s="363">
        <f t="shared" ca="1" si="3"/>
        <v>1587</v>
      </c>
      <c r="AF23" s="299" t="s">
        <v>1348</v>
      </c>
    </row>
    <row r="24" spans="1:32" s="589" customFormat="1" ht="30" customHeight="1" thickBot="1" x14ac:dyDescent="0.25">
      <c r="A24" s="329" t="s">
        <v>511</v>
      </c>
      <c r="B24" s="329" t="s">
        <v>1347</v>
      </c>
      <c r="C24" s="329" t="s">
        <v>56</v>
      </c>
      <c r="D24" s="379" t="s">
        <v>207</v>
      </c>
      <c r="E24" s="379" t="s">
        <v>208</v>
      </c>
      <c r="F24" s="331" t="s">
        <v>453</v>
      </c>
      <c r="G24" s="571">
        <v>342.6</v>
      </c>
      <c r="H24" s="571">
        <v>369.1</v>
      </c>
      <c r="I24" s="571">
        <v>362.8</v>
      </c>
      <c r="J24" s="571">
        <v>406.4</v>
      </c>
      <c r="K24" s="571">
        <v>0</v>
      </c>
      <c r="L24" s="571">
        <v>0</v>
      </c>
      <c r="M24" s="590">
        <v>0</v>
      </c>
      <c r="N24" s="571">
        <v>0</v>
      </c>
      <c r="O24" s="590">
        <v>0</v>
      </c>
      <c r="P24" s="571">
        <v>0</v>
      </c>
      <c r="Q24" s="571">
        <v>0</v>
      </c>
      <c r="R24" s="571">
        <v>0</v>
      </c>
      <c r="S24" s="571">
        <f>SUM(G24:R24)</f>
        <v>1480.9</v>
      </c>
      <c r="T24" s="572">
        <f t="shared" ca="1" si="0"/>
        <v>-2668</v>
      </c>
      <c r="U24" s="332">
        <v>41714</v>
      </c>
      <c r="V24" s="573" t="s">
        <v>1232</v>
      </c>
      <c r="W24" s="333" t="s">
        <v>737</v>
      </c>
      <c r="X24" s="334"/>
      <c r="Y24" s="334"/>
      <c r="Z24" s="334"/>
      <c r="AA24" s="334"/>
      <c r="AB24" s="334"/>
      <c r="AC24" s="335">
        <v>41667</v>
      </c>
      <c r="AD24" s="336">
        <v>39889</v>
      </c>
      <c r="AE24" s="574">
        <f t="shared" ca="1" si="3"/>
        <v>2302</v>
      </c>
      <c r="AF24" s="329" t="s">
        <v>48</v>
      </c>
    </row>
    <row r="25" spans="1:32" s="311" customFormat="1" ht="39" thickBot="1" x14ac:dyDescent="0.25">
      <c r="A25" s="299" t="s">
        <v>1037</v>
      </c>
      <c r="B25" s="299" t="s">
        <v>1353</v>
      </c>
      <c r="C25" s="299" t="s">
        <v>56</v>
      </c>
      <c r="D25" s="301" t="s">
        <v>1038</v>
      </c>
      <c r="E25" s="301" t="s">
        <v>1213</v>
      </c>
      <c r="F25" s="302">
        <v>12112</v>
      </c>
      <c r="G25" s="360">
        <v>801</v>
      </c>
      <c r="H25" s="360">
        <v>0</v>
      </c>
      <c r="I25" s="360">
        <v>801</v>
      </c>
      <c r="J25" s="360">
        <v>720.9</v>
      </c>
      <c r="K25" s="360">
        <v>0</v>
      </c>
      <c r="L25" s="360">
        <v>0</v>
      </c>
      <c r="M25" s="360">
        <v>0</v>
      </c>
      <c r="N25" s="360">
        <v>0</v>
      </c>
      <c r="O25" s="360">
        <v>0</v>
      </c>
      <c r="P25" s="360">
        <v>0</v>
      </c>
      <c r="Q25" s="360">
        <v>0</v>
      </c>
      <c r="R25" s="360">
        <v>0</v>
      </c>
      <c r="S25" s="360">
        <f t="shared" si="2"/>
        <v>2322.9</v>
      </c>
      <c r="T25" s="361">
        <f t="shared" ca="1" si="0"/>
        <v>-2659</v>
      </c>
      <c r="U25" s="303">
        <v>41723</v>
      </c>
      <c r="V25" s="359" t="s">
        <v>1346</v>
      </c>
      <c r="W25" s="362" t="s">
        <v>1041</v>
      </c>
      <c r="X25" s="305"/>
      <c r="Y25" s="305"/>
      <c r="Z25" s="305"/>
      <c r="AA25" s="305"/>
      <c r="AB25" s="305"/>
      <c r="AC25" s="306">
        <v>41667</v>
      </c>
      <c r="AD25" s="307">
        <v>40998</v>
      </c>
      <c r="AE25" s="363">
        <f t="shared" ca="1" si="3"/>
        <v>1193</v>
      </c>
      <c r="AF25" s="299" t="s">
        <v>48</v>
      </c>
    </row>
    <row r="26" spans="1:32" s="311" customFormat="1" ht="30" customHeight="1" thickBot="1" x14ac:dyDescent="0.25">
      <c r="A26" s="321" t="s">
        <v>583</v>
      </c>
      <c r="B26" s="299" t="s">
        <v>1347</v>
      </c>
      <c r="C26" s="299" t="s">
        <v>61</v>
      </c>
      <c r="D26" s="301" t="s">
        <v>50</v>
      </c>
      <c r="E26" s="301" t="s">
        <v>51</v>
      </c>
      <c r="F26" s="302" t="s">
        <v>1520</v>
      </c>
      <c r="G26" s="360">
        <v>888.46</v>
      </c>
      <c r="H26" s="360">
        <f>801.96+88.19</f>
        <v>890.15000000000009</v>
      </c>
      <c r="I26" s="360">
        <v>888.46</v>
      </c>
      <c r="J26" s="360">
        <f>801.96+86.5</f>
        <v>888.46</v>
      </c>
      <c r="K26" s="360">
        <v>919.94</v>
      </c>
      <c r="L26" s="360">
        <v>1032.2</v>
      </c>
      <c r="M26" s="360">
        <v>1032.2</v>
      </c>
      <c r="N26" s="360">
        <v>1006.53</v>
      </c>
      <c r="O26" s="360">
        <v>1006.53</v>
      </c>
      <c r="P26" s="360">
        <v>1052.53</v>
      </c>
      <c r="Q26" s="360">
        <f>86.5+966.03</f>
        <v>1052.53</v>
      </c>
      <c r="R26" s="360">
        <f>966.03+86.5</f>
        <v>1052.53</v>
      </c>
      <c r="S26" s="360">
        <f t="shared" si="2"/>
        <v>11710.520000000002</v>
      </c>
      <c r="T26" s="361">
        <f t="shared" ca="1" si="0"/>
        <v>-2266</v>
      </c>
      <c r="U26" s="303">
        <v>42116</v>
      </c>
      <c r="V26" s="359" t="s">
        <v>1521</v>
      </c>
      <c r="W26" s="362" t="s">
        <v>738</v>
      </c>
      <c r="X26" s="305"/>
      <c r="Y26" s="305"/>
      <c r="Z26" s="305"/>
      <c r="AA26" s="305"/>
      <c r="AB26" s="305"/>
      <c r="AC26" s="306">
        <v>41992</v>
      </c>
      <c r="AD26" s="307">
        <v>39926</v>
      </c>
      <c r="AE26" s="363">
        <f t="shared" ca="1" si="3"/>
        <v>2265</v>
      </c>
      <c r="AF26" s="299" t="s">
        <v>54</v>
      </c>
    </row>
    <row r="27" spans="1:32" s="311" customFormat="1" ht="26.25" thickBot="1" x14ac:dyDescent="0.25">
      <c r="A27" s="348" t="s">
        <v>1094</v>
      </c>
      <c r="B27" s="299" t="s">
        <v>23</v>
      </c>
      <c r="C27" s="299" t="s">
        <v>372</v>
      </c>
      <c r="D27" s="349" t="s">
        <v>1095</v>
      </c>
      <c r="E27" s="349" t="s">
        <v>1096</v>
      </c>
      <c r="F27" s="302">
        <v>0</v>
      </c>
      <c r="G27" s="360">
        <v>0</v>
      </c>
      <c r="H27" s="360">
        <v>0</v>
      </c>
      <c r="I27" s="360">
        <v>0</v>
      </c>
      <c r="J27" s="360">
        <v>0</v>
      </c>
      <c r="K27" s="360">
        <v>0</v>
      </c>
      <c r="L27" s="360">
        <v>0</v>
      </c>
      <c r="M27" s="360">
        <v>0</v>
      </c>
      <c r="N27" s="360">
        <v>0</v>
      </c>
      <c r="O27" s="360">
        <v>0</v>
      </c>
      <c r="P27" s="360">
        <v>0</v>
      </c>
      <c r="Q27" s="360">
        <v>0</v>
      </c>
      <c r="R27" s="360">
        <v>0</v>
      </c>
      <c r="S27" s="284">
        <f t="shared" si="2"/>
        <v>0</v>
      </c>
      <c r="T27" s="274">
        <f t="shared" ca="1" si="0"/>
        <v>-2985</v>
      </c>
      <c r="U27" s="303">
        <v>41397</v>
      </c>
      <c r="V27" s="304" t="s">
        <v>1097</v>
      </c>
      <c r="W27" s="362"/>
      <c r="X27" s="305"/>
      <c r="Y27" s="305"/>
      <c r="Z27" s="305"/>
      <c r="AA27" s="305"/>
      <c r="AB27" s="305"/>
      <c r="AC27" s="306">
        <v>41589</v>
      </c>
      <c r="AD27" s="307">
        <v>41033</v>
      </c>
      <c r="AE27" s="278">
        <f t="shared" ca="1" si="3"/>
        <v>1158</v>
      </c>
      <c r="AF27" s="299" t="s">
        <v>1093</v>
      </c>
    </row>
    <row r="28" spans="1:32" s="311" customFormat="1" ht="26.25" thickBot="1" x14ac:dyDescent="0.25">
      <c r="A28" s="299" t="s">
        <v>353</v>
      </c>
      <c r="B28" s="299" t="s">
        <v>23</v>
      </c>
      <c r="C28" s="299" t="s">
        <v>24</v>
      </c>
      <c r="D28" s="301" t="s">
        <v>260</v>
      </c>
      <c r="E28" s="301" t="s">
        <v>1697</v>
      </c>
      <c r="F28" s="302" t="s">
        <v>1069</v>
      </c>
      <c r="G28" s="360">
        <v>650</v>
      </c>
      <c r="H28" s="360">
        <v>650</v>
      </c>
      <c r="I28" s="360">
        <f>625.02+665.84</f>
        <v>1290.8600000000001</v>
      </c>
      <c r="J28" s="360">
        <v>0</v>
      </c>
      <c r="K28" s="360">
        <f>626.9+667.82</f>
        <v>1294.72</v>
      </c>
      <c r="L28" s="360">
        <v>673.76</v>
      </c>
      <c r="M28" s="360">
        <v>3067.58</v>
      </c>
      <c r="N28" s="360">
        <v>0</v>
      </c>
      <c r="O28" s="360">
        <v>0</v>
      </c>
      <c r="P28" s="360">
        <v>0</v>
      </c>
      <c r="Q28" s="360">
        <v>0</v>
      </c>
      <c r="R28" s="360">
        <v>0</v>
      </c>
      <c r="S28" s="360">
        <f t="shared" si="2"/>
        <v>7626.92</v>
      </c>
      <c r="T28" s="361">
        <f t="shared" ca="1" si="0"/>
        <v>-2981</v>
      </c>
      <c r="U28" s="303">
        <v>41401</v>
      </c>
      <c r="V28" s="310" t="s">
        <v>355</v>
      </c>
      <c r="W28" s="310" t="s">
        <v>841</v>
      </c>
      <c r="X28" s="305"/>
      <c r="Y28" s="305"/>
      <c r="Z28" s="305"/>
      <c r="AA28" s="305"/>
      <c r="AB28" s="305"/>
      <c r="AC28" s="306">
        <v>41341</v>
      </c>
      <c r="AD28" s="307">
        <v>39576</v>
      </c>
      <c r="AE28" s="363">
        <f t="shared" ca="1" si="3"/>
        <v>2615</v>
      </c>
      <c r="AF28" s="299" t="s">
        <v>29</v>
      </c>
    </row>
    <row r="29" spans="1:32" s="311" customFormat="1" ht="39" thickBot="1" x14ac:dyDescent="0.25">
      <c r="A29" s="348" t="s">
        <v>1103</v>
      </c>
      <c r="B29" s="299" t="s">
        <v>1353</v>
      </c>
      <c r="C29" s="299" t="s">
        <v>61</v>
      </c>
      <c r="D29" s="349" t="s">
        <v>1104</v>
      </c>
      <c r="E29" s="349" t="s">
        <v>1531</v>
      </c>
      <c r="F29" s="302">
        <v>3502.08</v>
      </c>
      <c r="G29" s="360">
        <v>0</v>
      </c>
      <c r="H29" s="360">
        <v>0</v>
      </c>
      <c r="I29" s="360">
        <v>0</v>
      </c>
      <c r="J29" s="360">
        <v>0</v>
      </c>
      <c r="K29" s="360">
        <v>0</v>
      </c>
      <c r="L29" s="360">
        <v>0</v>
      </c>
      <c r="M29" s="360">
        <v>0</v>
      </c>
      <c r="N29" s="360">
        <v>0</v>
      </c>
      <c r="O29" s="360">
        <v>0</v>
      </c>
      <c r="P29" s="360">
        <v>0</v>
      </c>
      <c r="Q29" s="360">
        <v>0</v>
      </c>
      <c r="R29" s="360">
        <v>0</v>
      </c>
      <c r="S29" s="360">
        <f t="shared" si="2"/>
        <v>0</v>
      </c>
      <c r="T29" s="361">
        <f t="shared" ca="1" si="0"/>
        <v>-2605</v>
      </c>
      <c r="U29" s="303">
        <v>41777</v>
      </c>
      <c r="V29" s="359" t="s">
        <v>1251</v>
      </c>
      <c r="W29" s="362" t="s">
        <v>1354</v>
      </c>
      <c r="X29" s="305"/>
      <c r="Y29" s="305"/>
      <c r="Z29" s="305"/>
      <c r="AA29" s="305"/>
      <c r="AB29" s="305"/>
      <c r="AC29" s="306">
        <v>41722</v>
      </c>
      <c r="AD29" s="307">
        <v>41047</v>
      </c>
      <c r="AE29" s="363">
        <f t="shared" ca="1" si="3"/>
        <v>1144</v>
      </c>
      <c r="AF29" s="299" t="s">
        <v>29</v>
      </c>
    </row>
    <row r="30" spans="1:32" s="311" customFormat="1" ht="39" thickBot="1" x14ac:dyDescent="0.25">
      <c r="A30" s="299" t="s">
        <v>677</v>
      </c>
      <c r="B30" s="554" t="s">
        <v>678</v>
      </c>
      <c r="C30" s="299" t="s">
        <v>37</v>
      </c>
      <c r="D30" s="301" t="s">
        <v>38</v>
      </c>
      <c r="E30" s="301" t="s">
        <v>1238</v>
      </c>
      <c r="F30" s="302">
        <v>79590</v>
      </c>
      <c r="G30" s="360">
        <v>6632.6</v>
      </c>
      <c r="H30" s="544">
        <v>6632.5</v>
      </c>
      <c r="I30" s="360">
        <v>0</v>
      </c>
      <c r="J30" s="360">
        <v>0</v>
      </c>
      <c r="K30" s="360">
        <v>0</v>
      </c>
      <c r="L30" s="360">
        <v>0</v>
      </c>
      <c r="M30" s="360">
        <v>0</v>
      </c>
      <c r="N30" s="360">
        <v>0</v>
      </c>
      <c r="O30" s="360">
        <v>0</v>
      </c>
      <c r="P30" s="360">
        <v>0</v>
      </c>
      <c r="Q30" s="360">
        <v>0</v>
      </c>
      <c r="R30" s="360">
        <v>0</v>
      </c>
      <c r="S30" s="360">
        <f t="shared" si="2"/>
        <v>13265.1</v>
      </c>
      <c r="T30" s="361">
        <f t="shared" ca="1" si="0"/>
        <v>-2603</v>
      </c>
      <c r="U30" s="303">
        <v>41779</v>
      </c>
      <c r="V30" s="359" t="s">
        <v>1239</v>
      </c>
      <c r="W30" s="362" t="s">
        <v>739</v>
      </c>
      <c r="X30" s="305"/>
      <c r="Y30" s="305"/>
      <c r="Z30" s="305"/>
      <c r="AA30" s="305"/>
      <c r="AB30" s="305"/>
      <c r="AC30" s="306">
        <v>41722</v>
      </c>
      <c r="AD30" s="307">
        <v>40318</v>
      </c>
      <c r="AE30" s="363">
        <f t="shared" ca="1" si="3"/>
        <v>1872</v>
      </c>
      <c r="AF30" s="299" t="s">
        <v>41</v>
      </c>
    </row>
    <row r="31" spans="1:32" s="311" customFormat="1" ht="39" thickBot="1" x14ac:dyDescent="0.25">
      <c r="A31" s="299" t="s">
        <v>718</v>
      </c>
      <c r="B31" s="299" t="s">
        <v>719</v>
      </c>
      <c r="C31" s="299" t="s">
        <v>617</v>
      </c>
      <c r="D31" s="301" t="s">
        <v>379</v>
      </c>
      <c r="E31" s="301" t="s">
        <v>720</v>
      </c>
      <c r="F31" s="302" t="s">
        <v>721</v>
      </c>
      <c r="G31" s="360">
        <v>0</v>
      </c>
      <c r="H31" s="360">
        <v>0</v>
      </c>
      <c r="I31" s="360">
        <v>0</v>
      </c>
      <c r="J31" s="360">
        <v>0</v>
      </c>
      <c r="K31" s="360">
        <v>0</v>
      </c>
      <c r="L31" s="360">
        <v>0</v>
      </c>
      <c r="M31" s="360">
        <v>0</v>
      </c>
      <c r="N31" s="360">
        <v>0</v>
      </c>
      <c r="O31" s="360">
        <v>0</v>
      </c>
      <c r="P31" s="360">
        <v>0</v>
      </c>
      <c r="Q31" s="360">
        <v>0</v>
      </c>
      <c r="R31" s="360">
        <v>0</v>
      </c>
      <c r="S31" s="360">
        <f t="shared" si="2"/>
        <v>0</v>
      </c>
      <c r="T31" s="361">
        <f t="shared" ca="1" si="0"/>
        <v>-2836</v>
      </c>
      <c r="U31" s="303">
        <v>41546</v>
      </c>
      <c r="V31" s="359" t="s">
        <v>722</v>
      </c>
      <c r="W31" s="362" t="s">
        <v>745</v>
      </c>
      <c r="X31" s="305"/>
      <c r="Y31" s="305"/>
      <c r="Z31" s="305"/>
      <c r="AA31" s="305"/>
      <c r="AB31" s="305"/>
      <c r="AC31" s="306">
        <v>41512</v>
      </c>
      <c r="AD31" s="307">
        <v>40451</v>
      </c>
      <c r="AE31" s="363">
        <f t="shared" ca="1" si="3"/>
        <v>1739</v>
      </c>
      <c r="AF31" s="299" t="s">
        <v>41</v>
      </c>
    </row>
    <row r="32" spans="1:32" s="311" customFormat="1" ht="30" customHeight="1" thickBot="1" x14ac:dyDescent="0.25">
      <c r="A32" s="299" t="s">
        <v>855</v>
      </c>
      <c r="B32" s="299" t="s">
        <v>667</v>
      </c>
      <c r="C32" s="299" t="s">
        <v>772</v>
      </c>
      <c r="D32" s="301" t="s">
        <v>1579</v>
      </c>
      <c r="E32" s="301" t="s">
        <v>857</v>
      </c>
      <c r="F32" s="302" t="s">
        <v>1578</v>
      </c>
      <c r="G32" s="360">
        <f>1051.59+183.1</f>
        <v>1234.6899999999998</v>
      </c>
      <c r="H32" s="360">
        <f>183.1+1166.48</f>
        <v>1349.58</v>
      </c>
      <c r="I32" s="360">
        <f>1337.89+183.1</f>
        <v>1520.99</v>
      </c>
      <c r="J32" s="360">
        <f>129.95+966.75</f>
        <v>1096.7</v>
      </c>
      <c r="K32" s="360">
        <f>54.95+985.44+198.05</f>
        <v>1238.44</v>
      </c>
      <c r="L32" s="360">
        <f>748.87+183.1</f>
        <v>931.97</v>
      </c>
      <c r="M32" s="360">
        <f>712.69+183.1</f>
        <v>895.79000000000008</v>
      </c>
      <c r="N32" s="360">
        <f>315.4+753.13</f>
        <v>1068.53</v>
      </c>
      <c r="O32" s="360">
        <f>183.1+695.37</f>
        <v>878.47</v>
      </c>
      <c r="P32" s="360">
        <f>714.73+183.1</f>
        <v>897.83</v>
      </c>
      <c r="Q32" s="360">
        <f>183.1+831.89</f>
        <v>1014.99</v>
      </c>
      <c r="R32" s="360">
        <f>976.43+183.1</f>
        <v>1159.53</v>
      </c>
      <c r="S32" s="360">
        <f t="shared" si="2"/>
        <v>13287.51</v>
      </c>
      <c r="T32" s="361">
        <f t="shared" ca="1" si="0"/>
        <v>-1855</v>
      </c>
      <c r="U32" s="303">
        <v>42527</v>
      </c>
      <c r="V32" s="359" t="s">
        <v>1690</v>
      </c>
      <c r="W32" s="279" t="s">
        <v>861</v>
      </c>
      <c r="X32" s="305"/>
      <c r="Y32" s="305"/>
      <c r="Z32" s="305"/>
      <c r="AA32" s="305"/>
      <c r="AB32" s="305"/>
      <c r="AC32" s="307"/>
      <c r="AD32" s="575">
        <v>40701</v>
      </c>
      <c r="AE32" s="363">
        <f t="shared" ca="1" si="3"/>
        <v>1489</v>
      </c>
      <c r="AF32" s="299" t="s">
        <v>48</v>
      </c>
    </row>
    <row r="33" spans="1:33" s="311" customFormat="1" ht="39" thickBot="1" x14ac:dyDescent="0.25">
      <c r="A33" s="348" t="s">
        <v>1098</v>
      </c>
      <c r="B33" s="299" t="s">
        <v>1374</v>
      </c>
      <c r="C33" s="299"/>
      <c r="D33" s="349" t="s">
        <v>333</v>
      </c>
      <c r="E33" s="478" t="s">
        <v>1099</v>
      </c>
      <c r="F33" s="302" t="s">
        <v>1101</v>
      </c>
      <c r="G33" s="360">
        <v>0</v>
      </c>
      <c r="H33" s="360">
        <v>0</v>
      </c>
      <c r="I33" s="360">
        <v>0</v>
      </c>
      <c r="J33" s="360">
        <v>0</v>
      </c>
      <c r="K33" s="360">
        <v>0</v>
      </c>
      <c r="L33" s="360">
        <v>0</v>
      </c>
      <c r="M33" s="360">
        <v>0</v>
      </c>
      <c r="N33" s="360">
        <v>0</v>
      </c>
      <c r="O33" s="360">
        <v>0</v>
      </c>
      <c r="P33" s="360">
        <v>0</v>
      </c>
      <c r="Q33" s="360">
        <v>0</v>
      </c>
      <c r="R33" s="360">
        <v>0</v>
      </c>
      <c r="S33" s="360">
        <f t="shared" si="2"/>
        <v>0</v>
      </c>
      <c r="T33" s="361">
        <f t="shared" ca="1" si="0"/>
        <v>-2596</v>
      </c>
      <c r="U33" s="303">
        <v>41786</v>
      </c>
      <c r="V33" s="359" t="s">
        <v>1102</v>
      </c>
      <c r="W33" s="465" t="s">
        <v>863</v>
      </c>
      <c r="X33" s="305"/>
      <c r="Y33" s="305"/>
      <c r="Z33" s="305"/>
      <c r="AA33" s="305"/>
      <c r="AB33" s="305"/>
      <c r="AC33" s="306">
        <v>41722</v>
      </c>
      <c r="AD33" s="307">
        <v>41057</v>
      </c>
      <c r="AE33" s="363">
        <f t="shared" ca="1" si="3"/>
        <v>1134</v>
      </c>
      <c r="AF33" s="299" t="s">
        <v>41</v>
      </c>
    </row>
    <row r="34" spans="1:33" s="311" customFormat="1" ht="30" customHeight="1" thickBot="1" x14ac:dyDescent="0.25">
      <c r="A34" s="348" t="s">
        <v>1089</v>
      </c>
      <c r="B34" s="299" t="s">
        <v>23</v>
      </c>
      <c r="C34" s="299" t="s">
        <v>372</v>
      </c>
      <c r="D34" s="349" t="s">
        <v>1090</v>
      </c>
      <c r="E34" s="349" t="s">
        <v>1091</v>
      </c>
      <c r="F34" s="302">
        <v>0</v>
      </c>
      <c r="G34" s="360">
        <v>0</v>
      </c>
      <c r="H34" s="360">
        <v>0</v>
      </c>
      <c r="I34" s="360">
        <v>0</v>
      </c>
      <c r="J34" s="360">
        <v>0</v>
      </c>
      <c r="K34" s="360">
        <v>0</v>
      </c>
      <c r="L34" s="360">
        <v>0</v>
      </c>
      <c r="M34" s="360">
        <v>0</v>
      </c>
      <c r="N34" s="360">
        <v>0</v>
      </c>
      <c r="O34" s="360">
        <v>0</v>
      </c>
      <c r="P34" s="360">
        <v>0</v>
      </c>
      <c r="Q34" s="360">
        <v>0</v>
      </c>
      <c r="R34" s="360">
        <v>0</v>
      </c>
      <c r="S34" s="284">
        <f t="shared" si="2"/>
        <v>0</v>
      </c>
      <c r="T34" s="274">
        <f t="shared" ca="1" si="0"/>
        <v>-1521</v>
      </c>
      <c r="U34" s="303">
        <v>42861</v>
      </c>
      <c r="V34" s="304" t="s">
        <v>1092</v>
      </c>
      <c r="W34" s="465" t="s">
        <v>1093</v>
      </c>
      <c r="X34" s="305"/>
      <c r="Y34" s="305"/>
      <c r="Z34" s="305"/>
      <c r="AA34" s="305"/>
      <c r="AB34" s="305"/>
      <c r="AC34" s="306"/>
      <c r="AD34" s="307">
        <v>41036</v>
      </c>
      <c r="AE34" s="278">
        <f ca="1">TODAY()-DATE(YEAR(AD34)+5,MONTH(AD34),DAY(AD34))</f>
        <v>1520</v>
      </c>
      <c r="AF34" s="299" t="s">
        <v>96</v>
      </c>
    </row>
    <row r="35" spans="1:33" s="311" customFormat="1" ht="30" customHeight="1" thickBot="1" x14ac:dyDescent="0.25">
      <c r="A35" s="348" t="s">
        <v>1065</v>
      </c>
      <c r="B35" s="299" t="s">
        <v>23</v>
      </c>
      <c r="C35" s="299" t="s">
        <v>56</v>
      </c>
      <c r="D35" s="349" t="s">
        <v>1066</v>
      </c>
      <c r="E35" s="349" t="s">
        <v>1067</v>
      </c>
      <c r="F35" s="302" t="s">
        <v>1074</v>
      </c>
      <c r="G35" s="360">
        <v>0</v>
      </c>
      <c r="H35" s="360">
        <v>0</v>
      </c>
      <c r="I35" s="360">
        <v>0</v>
      </c>
      <c r="J35" s="360">
        <v>0</v>
      </c>
      <c r="K35" s="360">
        <v>0</v>
      </c>
      <c r="L35" s="360">
        <v>0</v>
      </c>
      <c r="M35" s="360">
        <v>0</v>
      </c>
      <c r="N35" s="360">
        <v>0</v>
      </c>
      <c r="O35" s="360">
        <v>0</v>
      </c>
      <c r="P35" s="360">
        <v>0</v>
      </c>
      <c r="Q35" s="360">
        <v>0</v>
      </c>
      <c r="R35" s="360">
        <v>0</v>
      </c>
      <c r="S35" s="284">
        <f t="shared" si="2"/>
        <v>0</v>
      </c>
      <c r="T35" s="473"/>
      <c r="U35" s="303" t="s">
        <v>233</v>
      </c>
      <c r="V35" s="304" t="s">
        <v>1068</v>
      </c>
      <c r="W35" s="465" t="s">
        <v>1088</v>
      </c>
      <c r="X35" s="305"/>
      <c r="Y35" s="305"/>
      <c r="Z35" s="305"/>
      <c r="AA35" s="305"/>
      <c r="AB35" s="305"/>
      <c r="AC35" s="306"/>
      <c r="AD35" s="307">
        <v>40998</v>
      </c>
      <c r="AE35" s="278">
        <f t="shared" ref="AE35:AE49" ca="1" si="4">TODAY()-DATE(YEAR(AD35)+5,MONTH(AD35),DAY(AD35))</f>
        <v>1558</v>
      </c>
      <c r="AF35" s="299" t="s">
        <v>41</v>
      </c>
    </row>
    <row r="36" spans="1:33" s="311" customFormat="1" ht="39" thickBot="1" x14ac:dyDescent="0.25">
      <c r="A36" s="474" t="s">
        <v>23</v>
      </c>
      <c r="B36" s="475" t="s">
        <v>23</v>
      </c>
      <c r="C36" s="476" t="s">
        <v>372</v>
      </c>
      <c r="D36" s="477" t="s">
        <v>1022</v>
      </c>
      <c r="E36" s="349" t="s">
        <v>968</v>
      </c>
      <c r="F36" s="302" t="s">
        <v>972</v>
      </c>
      <c r="G36" s="360">
        <v>0</v>
      </c>
      <c r="H36" s="360">
        <v>0</v>
      </c>
      <c r="I36" s="360">
        <v>0</v>
      </c>
      <c r="J36" s="360">
        <v>0</v>
      </c>
      <c r="K36" s="360">
        <v>0</v>
      </c>
      <c r="L36" s="360">
        <v>0</v>
      </c>
      <c r="M36" s="360">
        <v>0</v>
      </c>
      <c r="N36" s="360">
        <v>0</v>
      </c>
      <c r="O36" s="360">
        <v>0</v>
      </c>
      <c r="P36" s="360">
        <v>0</v>
      </c>
      <c r="Q36" s="360">
        <v>0</v>
      </c>
      <c r="R36" s="360">
        <v>0</v>
      </c>
      <c r="S36" s="360">
        <f t="shared" si="2"/>
        <v>0</v>
      </c>
      <c r="T36" s="361"/>
      <c r="U36" s="303" t="s">
        <v>233</v>
      </c>
      <c r="V36" s="359" t="s">
        <v>969</v>
      </c>
      <c r="W36" s="570" t="s">
        <v>1014</v>
      </c>
      <c r="X36" s="305"/>
      <c r="Y36" s="305"/>
      <c r="Z36" s="305"/>
      <c r="AA36" s="305"/>
      <c r="AB36" s="305"/>
      <c r="AC36" s="306"/>
      <c r="AD36" s="307">
        <v>36819</v>
      </c>
      <c r="AE36" s="363">
        <f t="shared" ca="1" si="4"/>
        <v>5737</v>
      </c>
      <c r="AF36" s="474" t="s">
        <v>54</v>
      </c>
    </row>
    <row r="37" spans="1:33" s="600" customFormat="1" ht="39" thickBot="1" x14ac:dyDescent="0.25">
      <c r="A37" s="591" t="s">
        <v>790</v>
      </c>
      <c r="B37" s="595" t="s">
        <v>667</v>
      </c>
      <c r="C37" s="596" t="s">
        <v>130</v>
      </c>
      <c r="D37" s="379" t="s">
        <v>1113</v>
      </c>
      <c r="E37" s="593" t="s">
        <v>1532</v>
      </c>
      <c r="F37" s="597"/>
      <c r="G37" s="571">
        <f>332.57+234.51</f>
        <v>567.07999999999993</v>
      </c>
      <c r="H37" s="571">
        <v>0</v>
      </c>
      <c r="I37" s="571">
        <v>0</v>
      </c>
      <c r="J37" s="571">
        <v>0</v>
      </c>
      <c r="K37" s="571">
        <f>762.75+1077.37</f>
        <v>1840.12</v>
      </c>
      <c r="L37" s="571">
        <v>0</v>
      </c>
      <c r="M37" s="571">
        <v>0</v>
      </c>
      <c r="N37" s="571">
        <v>0</v>
      </c>
      <c r="O37" s="571">
        <v>0</v>
      </c>
      <c r="P37" s="571">
        <v>0</v>
      </c>
      <c r="Q37" s="571">
        <v>0</v>
      </c>
      <c r="R37" s="571">
        <v>0</v>
      </c>
      <c r="S37" s="571">
        <f t="shared" si="2"/>
        <v>2407.1999999999998</v>
      </c>
      <c r="T37" s="572">
        <f t="shared" ref="T37:T57" ca="1" si="5">U37-$AE$3</f>
        <v>-2592</v>
      </c>
      <c r="U37" s="332">
        <v>41790</v>
      </c>
      <c r="V37" s="573" t="s">
        <v>1254</v>
      </c>
      <c r="W37" s="598" t="s">
        <v>1371</v>
      </c>
      <c r="X37" s="599"/>
      <c r="Y37" s="599"/>
      <c r="Z37" s="599"/>
      <c r="AA37" s="599"/>
      <c r="AB37" s="599"/>
      <c r="AC37" s="335">
        <v>41731</v>
      </c>
      <c r="AD37" s="336">
        <v>41061</v>
      </c>
      <c r="AE37" s="574">
        <f t="shared" ca="1" si="4"/>
        <v>1495</v>
      </c>
      <c r="AF37" s="591" t="s">
        <v>1295</v>
      </c>
    </row>
    <row r="38" spans="1:33" s="600" customFormat="1" ht="39" thickBot="1" x14ac:dyDescent="0.25">
      <c r="A38" s="591" t="s">
        <v>790</v>
      </c>
      <c r="B38" s="595" t="s">
        <v>667</v>
      </c>
      <c r="C38" s="596" t="s">
        <v>130</v>
      </c>
      <c r="D38" s="601" t="s">
        <v>1116</v>
      </c>
      <c r="E38" s="593" t="s">
        <v>1532</v>
      </c>
      <c r="F38" s="602"/>
      <c r="G38" s="571">
        <f>715.97+15699.47+713.58+217.3+1015.19+65.7+706.31</f>
        <v>19133.52</v>
      </c>
      <c r="H38" s="571">
        <v>0</v>
      </c>
      <c r="I38" s="571">
        <v>0</v>
      </c>
      <c r="J38" s="571">
        <v>0</v>
      </c>
      <c r="K38" s="571">
        <v>0</v>
      </c>
      <c r="L38" s="571">
        <v>4580.16</v>
      </c>
      <c r="M38" s="571">
        <v>65.7</v>
      </c>
      <c r="N38" s="571">
        <v>951.71</v>
      </c>
      <c r="O38" s="571">
        <f>160.26+294.67+466.98</f>
        <v>921.91000000000008</v>
      </c>
      <c r="P38" s="571">
        <f>82.33+234.24+905.78</f>
        <v>1222.3499999999999</v>
      </c>
      <c r="Q38" s="571">
        <v>0</v>
      </c>
      <c r="R38" s="571">
        <v>0</v>
      </c>
      <c r="S38" s="571">
        <f t="shared" si="2"/>
        <v>26875.35</v>
      </c>
      <c r="T38" s="572">
        <f t="shared" ca="1" si="5"/>
        <v>-2592</v>
      </c>
      <c r="U38" s="332">
        <v>41790</v>
      </c>
      <c r="V38" s="573" t="s">
        <v>1254</v>
      </c>
      <c r="W38" s="598" t="s">
        <v>1363</v>
      </c>
      <c r="X38" s="603"/>
      <c r="Y38" s="603"/>
      <c r="Z38" s="603"/>
      <c r="AA38" s="603"/>
      <c r="AB38" s="603"/>
      <c r="AC38" s="335">
        <v>41731</v>
      </c>
      <c r="AD38" s="336">
        <v>41061</v>
      </c>
      <c r="AE38" s="574">
        <f t="shared" ca="1" si="4"/>
        <v>1495</v>
      </c>
      <c r="AF38" s="591" t="s">
        <v>1295</v>
      </c>
    </row>
    <row r="39" spans="1:33" s="600" customFormat="1" ht="39" thickBot="1" x14ac:dyDescent="0.25">
      <c r="A39" s="591" t="s">
        <v>790</v>
      </c>
      <c r="B39" s="595" t="s">
        <v>667</v>
      </c>
      <c r="C39" s="596" t="s">
        <v>130</v>
      </c>
      <c r="D39" s="379" t="s">
        <v>1117</v>
      </c>
      <c r="E39" s="593" t="s">
        <v>1532</v>
      </c>
      <c r="F39" s="602"/>
      <c r="G39" s="571">
        <v>2515.75</v>
      </c>
      <c r="H39" s="571">
        <v>0</v>
      </c>
      <c r="I39" s="571">
        <v>0</v>
      </c>
      <c r="J39" s="571">
        <v>0</v>
      </c>
      <c r="K39" s="571">
        <v>7213.1</v>
      </c>
      <c r="L39" s="571">
        <v>0</v>
      </c>
      <c r="M39" s="571">
        <v>0</v>
      </c>
      <c r="N39" s="571">
        <v>0</v>
      </c>
      <c r="O39" s="571">
        <v>0</v>
      </c>
      <c r="P39" s="571">
        <v>0</v>
      </c>
      <c r="Q39" s="571">
        <v>0</v>
      </c>
      <c r="R39" s="571">
        <v>0</v>
      </c>
      <c r="S39" s="571">
        <f t="shared" si="2"/>
        <v>9728.85</v>
      </c>
      <c r="T39" s="572">
        <f t="shared" ca="1" si="5"/>
        <v>-2592</v>
      </c>
      <c r="U39" s="332">
        <v>41790</v>
      </c>
      <c r="V39" s="573" t="s">
        <v>1254</v>
      </c>
      <c r="W39" s="598" t="s">
        <v>1364</v>
      </c>
      <c r="X39" s="603"/>
      <c r="Y39" s="603"/>
      <c r="Z39" s="603"/>
      <c r="AA39" s="603"/>
      <c r="AB39" s="603"/>
      <c r="AC39" s="335">
        <v>41731</v>
      </c>
      <c r="AD39" s="336">
        <v>41061</v>
      </c>
      <c r="AE39" s="574">
        <f t="shared" ca="1" si="4"/>
        <v>1495</v>
      </c>
      <c r="AF39" s="591" t="s">
        <v>1295</v>
      </c>
    </row>
    <row r="40" spans="1:33" s="600" customFormat="1" ht="39" thickBot="1" x14ac:dyDescent="0.25">
      <c r="A40" s="591" t="s">
        <v>790</v>
      </c>
      <c r="B40" s="595" t="s">
        <v>667</v>
      </c>
      <c r="C40" s="596" t="s">
        <v>130</v>
      </c>
      <c r="D40" s="379" t="s">
        <v>1118</v>
      </c>
      <c r="E40" s="593" t="s">
        <v>1532</v>
      </c>
      <c r="F40" s="602"/>
      <c r="G40" s="571">
        <f>125.87+353.05+822.76+228.96+11717.89</f>
        <v>13248.529999999999</v>
      </c>
      <c r="H40" s="571">
        <v>1932.19</v>
      </c>
      <c r="I40" s="571">
        <v>0</v>
      </c>
      <c r="J40" s="571">
        <v>0</v>
      </c>
      <c r="K40" s="571">
        <v>0</v>
      </c>
      <c r="L40" s="571">
        <v>0</v>
      </c>
      <c r="M40" s="571">
        <v>0</v>
      </c>
      <c r="N40" s="571">
        <v>0</v>
      </c>
      <c r="O40" s="571">
        <v>0</v>
      </c>
      <c r="P40" s="571">
        <f>2281.75+142.85</f>
        <v>2424.6</v>
      </c>
      <c r="Q40" s="571">
        <v>0</v>
      </c>
      <c r="R40" s="571">
        <v>1129.1600000000001</v>
      </c>
      <c r="S40" s="571">
        <f t="shared" si="2"/>
        <v>18734.48</v>
      </c>
      <c r="T40" s="572">
        <f t="shared" ca="1" si="5"/>
        <v>-2592</v>
      </c>
      <c r="U40" s="332">
        <v>41790</v>
      </c>
      <c r="V40" s="573" t="s">
        <v>1254</v>
      </c>
      <c r="W40" s="598" t="s">
        <v>1368</v>
      </c>
      <c r="X40" s="603"/>
      <c r="Y40" s="603"/>
      <c r="Z40" s="603"/>
      <c r="AA40" s="603"/>
      <c r="AB40" s="603"/>
      <c r="AC40" s="335">
        <v>41731</v>
      </c>
      <c r="AD40" s="336">
        <v>41061</v>
      </c>
      <c r="AE40" s="574">
        <f t="shared" ca="1" si="4"/>
        <v>1495</v>
      </c>
      <c r="AF40" s="591" t="s">
        <v>1295</v>
      </c>
    </row>
    <row r="41" spans="1:33" s="600" customFormat="1" ht="39" thickBot="1" x14ac:dyDescent="0.25">
      <c r="A41" s="591" t="s">
        <v>790</v>
      </c>
      <c r="B41" s="595" t="s">
        <v>667</v>
      </c>
      <c r="C41" s="596" t="s">
        <v>130</v>
      </c>
      <c r="D41" s="604" t="s">
        <v>1119</v>
      </c>
      <c r="E41" s="593" t="s">
        <v>1532</v>
      </c>
      <c r="F41" s="602"/>
      <c r="G41" s="571">
        <v>0</v>
      </c>
      <c r="H41" s="571">
        <v>0</v>
      </c>
      <c r="I41" s="571">
        <v>0</v>
      </c>
      <c r="J41" s="571">
        <v>0</v>
      </c>
      <c r="K41" s="571">
        <v>0</v>
      </c>
      <c r="L41" s="571">
        <v>0</v>
      </c>
      <c r="M41" s="571">
        <f>1141.27+458.11+100.19+166.65</f>
        <v>1866.2200000000003</v>
      </c>
      <c r="N41" s="571">
        <v>2000</v>
      </c>
      <c r="O41" s="571">
        <v>0</v>
      </c>
      <c r="P41" s="571">
        <v>0</v>
      </c>
      <c r="Q41" s="571">
        <v>1452.7</v>
      </c>
      <c r="R41" s="571">
        <v>0</v>
      </c>
      <c r="S41" s="571">
        <f t="shared" si="2"/>
        <v>5318.92</v>
      </c>
      <c r="T41" s="572">
        <f t="shared" ca="1" si="5"/>
        <v>-2592</v>
      </c>
      <c r="U41" s="332">
        <v>41790</v>
      </c>
      <c r="V41" s="573" t="s">
        <v>1256</v>
      </c>
      <c r="W41" s="598" t="s">
        <v>1318</v>
      </c>
      <c r="X41" s="594"/>
      <c r="Y41" s="594"/>
      <c r="Z41" s="594"/>
      <c r="AA41" s="594"/>
      <c r="AB41" s="594"/>
      <c r="AC41" s="335">
        <v>41731</v>
      </c>
      <c r="AD41" s="336">
        <v>41061</v>
      </c>
      <c r="AE41" s="574">
        <f t="shared" ca="1" si="4"/>
        <v>1495</v>
      </c>
      <c r="AF41" s="591" t="s">
        <v>1295</v>
      </c>
    </row>
    <row r="42" spans="1:33" s="600" customFormat="1" ht="39" thickBot="1" x14ac:dyDescent="0.25">
      <c r="A42" s="591" t="s">
        <v>790</v>
      </c>
      <c r="B42" s="592" t="s">
        <v>667</v>
      </c>
      <c r="C42" s="596" t="s">
        <v>130</v>
      </c>
      <c r="D42" s="605" t="s">
        <v>1121</v>
      </c>
      <c r="E42" s="593" t="s">
        <v>1532</v>
      </c>
      <c r="F42" s="602"/>
      <c r="G42" s="571">
        <v>0</v>
      </c>
      <c r="H42" s="571">
        <v>588.57000000000005</v>
      </c>
      <c r="I42" s="571">
        <v>0</v>
      </c>
      <c r="J42" s="571">
        <v>0</v>
      </c>
      <c r="K42" s="571">
        <f>483.78+284.07+1602.06+73.55</f>
        <v>2443.46</v>
      </c>
      <c r="L42" s="571">
        <v>0</v>
      </c>
      <c r="M42" s="571">
        <v>0</v>
      </c>
      <c r="N42" s="571">
        <v>0</v>
      </c>
      <c r="O42" s="571">
        <v>0</v>
      </c>
      <c r="P42" s="571">
        <v>0</v>
      </c>
      <c r="Q42" s="571">
        <v>0</v>
      </c>
      <c r="R42" s="571">
        <v>171.38</v>
      </c>
      <c r="S42" s="571">
        <f t="shared" si="2"/>
        <v>3203.4100000000003</v>
      </c>
      <c r="T42" s="572">
        <f t="shared" ca="1" si="5"/>
        <v>-2592</v>
      </c>
      <c r="U42" s="332">
        <v>41790</v>
      </c>
      <c r="V42" s="573" t="s">
        <v>1254</v>
      </c>
      <c r="W42" s="598" t="s">
        <v>1367</v>
      </c>
      <c r="X42" s="594"/>
      <c r="Y42" s="594"/>
      <c r="Z42" s="594"/>
      <c r="AA42" s="594"/>
      <c r="AB42" s="594"/>
      <c r="AC42" s="335">
        <v>41731</v>
      </c>
      <c r="AD42" s="336">
        <v>41061</v>
      </c>
      <c r="AE42" s="574">
        <f t="shared" ca="1" si="4"/>
        <v>1495</v>
      </c>
      <c r="AF42" s="591" t="s">
        <v>1295</v>
      </c>
    </row>
    <row r="43" spans="1:33" s="569" customFormat="1" ht="39" thickBot="1" x14ac:dyDescent="0.25">
      <c r="A43" s="591" t="s">
        <v>790</v>
      </c>
      <c r="B43" s="592" t="s">
        <v>667</v>
      </c>
      <c r="C43" s="596" t="s">
        <v>130</v>
      </c>
      <c r="D43" s="605" t="s">
        <v>1120</v>
      </c>
      <c r="E43" s="593" t="s">
        <v>1532</v>
      </c>
      <c r="F43" s="602"/>
      <c r="G43" s="571">
        <f>761.93+218.09</f>
        <v>980.02</v>
      </c>
      <c r="H43" s="571">
        <v>0</v>
      </c>
      <c r="I43" s="571">
        <v>0</v>
      </c>
      <c r="J43" s="571">
        <v>0</v>
      </c>
      <c r="K43" s="571">
        <v>0</v>
      </c>
      <c r="L43" s="571">
        <v>0</v>
      </c>
      <c r="M43" s="571">
        <f>816.41+1232.67</f>
        <v>2049.08</v>
      </c>
      <c r="N43" s="571">
        <v>0</v>
      </c>
      <c r="O43" s="571">
        <v>0</v>
      </c>
      <c r="P43" s="571">
        <f>4961.42</f>
        <v>4961.42</v>
      </c>
      <c r="Q43" s="571">
        <v>124.54</v>
      </c>
      <c r="R43" s="571">
        <f>182.39+384.71+660.24+195.67</f>
        <v>1423.01</v>
      </c>
      <c r="S43" s="571">
        <f t="shared" si="2"/>
        <v>9538.07</v>
      </c>
      <c r="T43" s="572">
        <f t="shared" ca="1" si="5"/>
        <v>-2592</v>
      </c>
      <c r="U43" s="332">
        <v>41790</v>
      </c>
      <c r="V43" s="573" t="s">
        <v>1254</v>
      </c>
      <c r="W43" s="598" t="s">
        <v>1370</v>
      </c>
      <c r="X43" s="594"/>
      <c r="Y43" s="594"/>
      <c r="Z43" s="594"/>
      <c r="AA43" s="594"/>
      <c r="AB43" s="594"/>
      <c r="AC43" s="335">
        <v>41731</v>
      </c>
      <c r="AD43" s="336">
        <v>41061</v>
      </c>
      <c r="AE43" s="574">
        <f t="shared" ca="1" si="4"/>
        <v>1495</v>
      </c>
      <c r="AF43" s="591" t="s">
        <v>1295</v>
      </c>
    </row>
    <row r="44" spans="1:33" s="569" customFormat="1" ht="39" thickBot="1" x14ac:dyDescent="0.25">
      <c r="A44" s="591" t="s">
        <v>790</v>
      </c>
      <c r="B44" s="592" t="s">
        <v>667</v>
      </c>
      <c r="C44" s="596" t="s">
        <v>130</v>
      </c>
      <c r="D44" s="605" t="s">
        <v>1122</v>
      </c>
      <c r="E44" s="593" t="s">
        <v>1532</v>
      </c>
      <c r="F44" s="602"/>
      <c r="G44" s="571">
        <v>0</v>
      </c>
      <c r="H44" s="571">
        <f>1171.29+781.15</f>
        <v>1952.44</v>
      </c>
      <c r="I44" s="571">
        <v>0</v>
      </c>
      <c r="J44" s="571">
        <v>0</v>
      </c>
      <c r="K44" s="571">
        <v>0</v>
      </c>
      <c r="L44" s="571">
        <v>0</v>
      </c>
      <c r="M44" s="571">
        <v>0</v>
      </c>
      <c r="N44" s="571">
        <v>0</v>
      </c>
      <c r="O44" s="571">
        <f>206.95+843.76+174.74+240.46+155.36+35.06</f>
        <v>1656.33</v>
      </c>
      <c r="P44" s="571">
        <v>0</v>
      </c>
      <c r="Q44" s="571">
        <v>0</v>
      </c>
      <c r="R44" s="571">
        <v>79.66</v>
      </c>
      <c r="S44" s="571">
        <f t="shared" si="2"/>
        <v>3688.43</v>
      </c>
      <c r="T44" s="572">
        <f t="shared" ca="1" si="5"/>
        <v>-2592</v>
      </c>
      <c r="U44" s="332">
        <v>41790</v>
      </c>
      <c r="V44" s="573" t="s">
        <v>1254</v>
      </c>
      <c r="W44" s="598" t="s">
        <v>1369</v>
      </c>
      <c r="X44" s="594"/>
      <c r="Y44" s="594"/>
      <c r="Z44" s="594"/>
      <c r="AA44" s="594"/>
      <c r="AB44" s="594"/>
      <c r="AC44" s="335">
        <v>41731</v>
      </c>
      <c r="AD44" s="336">
        <v>41061</v>
      </c>
      <c r="AE44" s="574">
        <f t="shared" ca="1" si="4"/>
        <v>1495</v>
      </c>
      <c r="AF44" s="591" t="s">
        <v>1295</v>
      </c>
      <c r="AG44" s="600"/>
    </row>
    <row r="45" spans="1:33" s="569" customFormat="1" ht="39" thickBot="1" x14ac:dyDescent="0.25">
      <c r="A45" s="591" t="s">
        <v>790</v>
      </c>
      <c r="B45" s="592" t="s">
        <v>667</v>
      </c>
      <c r="C45" s="596" t="s">
        <v>130</v>
      </c>
      <c r="D45" s="605" t="s">
        <v>1123</v>
      </c>
      <c r="E45" s="593" t="s">
        <v>1532</v>
      </c>
      <c r="F45" s="602"/>
      <c r="G45" s="571">
        <v>0</v>
      </c>
      <c r="H45" s="571">
        <v>0</v>
      </c>
      <c r="I45" s="571">
        <v>478.51</v>
      </c>
      <c r="J45" s="571">
        <v>0</v>
      </c>
      <c r="K45" s="571">
        <v>0</v>
      </c>
      <c r="L45" s="571">
        <v>0</v>
      </c>
      <c r="M45" s="571">
        <v>0</v>
      </c>
      <c r="N45" s="571">
        <v>0</v>
      </c>
      <c r="O45" s="571">
        <v>0</v>
      </c>
      <c r="P45" s="571">
        <v>0</v>
      </c>
      <c r="Q45" s="571">
        <v>0</v>
      </c>
      <c r="R45" s="571">
        <v>0</v>
      </c>
      <c r="S45" s="571">
        <f t="shared" si="2"/>
        <v>478.51</v>
      </c>
      <c r="T45" s="572">
        <f t="shared" ca="1" si="5"/>
        <v>-2592</v>
      </c>
      <c r="U45" s="332">
        <v>41790</v>
      </c>
      <c r="V45" s="573" t="s">
        <v>1254</v>
      </c>
      <c r="W45" s="598" t="s">
        <v>1365</v>
      </c>
      <c r="X45" s="594"/>
      <c r="Y45" s="594"/>
      <c r="Z45" s="594"/>
      <c r="AA45" s="594"/>
      <c r="AB45" s="594"/>
      <c r="AC45" s="335">
        <v>41731</v>
      </c>
      <c r="AD45" s="336">
        <v>41061</v>
      </c>
      <c r="AE45" s="574">
        <f t="shared" ca="1" si="4"/>
        <v>1495</v>
      </c>
      <c r="AF45" s="591" t="s">
        <v>1295</v>
      </c>
      <c r="AG45" s="606" t="s">
        <v>1526</v>
      </c>
    </row>
    <row r="46" spans="1:33" s="569" customFormat="1" ht="39" thickBot="1" x14ac:dyDescent="0.25">
      <c r="A46" s="591" t="s">
        <v>790</v>
      </c>
      <c r="B46" s="592" t="s">
        <v>667</v>
      </c>
      <c r="C46" s="596" t="s">
        <v>130</v>
      </c>
      <c r="D46" s="605" t="s">
        <v>1505</v>
      </c>
      <c r="E46" s="593" t="s">
        <v>1532</v>
      </c>
      <c r="F46" s="602"/>
      <c r="G46" s="571">
        <v>0</v>
      </c>
      <c r="H46" s="571">
        <v>0</v>
      </c>
      <c r="I46" s="571">
        <v>0</v>
      </c>
      <c r="J46" s="571">
        <v>0</v>
      </c>
      <c r="K46" s="571">
        <v>0</v>
      </c>
      <c r="L46" s="571">
        <f>136.85+1918.95</f>
        <v>2055.8000000000002</v>
      </c>
      <c r="M46" s="571">
        <v>0</v>
      </c>
      <c r="N46" s="571">
        <v>0</v>
      </c>
      <c r="O46" s="571">
        <v>3060</v>
      </c>
      <c r="P46" s="571">
        <v>0</v>
      </c>
      <c r="Q46" s="571">
        <v>0</v>
      </c>
      <c r="R46" s="571">
        <v>0</v>
      </c>
      <c r="S46" s="571">
        <f t="shared" si="2"/>
        <v>5115.8</v>
      </c>
      <c r="T46" s="572">
        <f t="shared" ca="1" si="5"/>
        <v>-2592</v>
      </c>
      <c r="U46" s="332">
        <v>41790</v>
      </c>
      <c r="V46" s="573" t="s">
        <v>1254</v>
      </c>
      <c r="W46" s="598" t="s">
        <v>1366</v>
      </c>
      <c r="X46" s="594"/>
      <c r="Y46" s="594"/>
      <c r="Z46" s="594"/>
      <c r="AA46" s="594"/>
      <c r="AB46" s="594"/>
      <c r="AC46" s="335">
        <v>41731</v>
      </c>
      <c r="AD46" s="336">
        <v>41061</v>
      </c>
      <c r="AE46" s="574">
        <f t="shared" ca="1" si="4"/>
        <v>1495</v>
      </c>
      <c r="AF46" s="591" t="s">
        <v>1295</v>
      </c>
    </row>
    <row r="47" spans="1:33" s="569" customFormat="1" ht="39" thickBot="1" x14ac:dyDescent="0.25">
      <c r="A47" s="591" t="s">
        <v>790</v>
      </c>
      <c r="B47" s="592" t="s">
        <v>667</v>
      </c>
      <c r="C47" s="596" t="s">
        <v>130</v>
      </c>
      <c r="D47" s="605" t="s">
        <v>1125</v>
      </c>
      <c r="E47" s="593" t="s">
        <v>1532</v>
      </c>
      <c r="F47" s="602"/>
      <c r="G47" s="571">
        <v>0</v>
      </c>
      <c r="H47" s="571">
        <v>0</v>
      </c>
      <c r="I47" s="571">
        <f>724.2+1319.02+259.02</f>
        <v>2302.2399999999998</v>
      </c>
      <c r="J47" s="571">
        <v>0</v>
      </c>
      <c r="K47" s="571">
        <f>2084.15+1029.83+5087.28+3967.72+8524.41</f>
        <v>20693.39</v>
      </c>
      <c r="L47" s="571">
        <f>583.26</f>
        <v>583.26</v>
      </c>
      <c r="M47" s="571">
        <f>234.54+247.1+467.8+459.03</f>
        <v>1408.47</v>
      </c>
      <c r="N47" s="571">
        <f>257.42+240.88+2292.78+94.85+29.16</f>
        <v>2915.09</v>
      </c>
      <c r="O47" s="571">
        <f>164.42+151.42+1582.4</f>
        <v>1898.24</v>
      </c>
      <c r="P47" s="571">
        <f>1010.09+422.62+3475.06+18.26+26.46</f>
        <v>4952.4900000000007</v>
      </c>
      <c r="Q47" s="571">
        <v>187.95</v>
      </c>
      <c r="R47" s="571">
        <v>0</v>
      </c>
      <c r="S47" s="571">
        <f t="shared" si="2"/>
        <v>34941.129999999997</v>
      </c>
      <c r="T47" s="572">
        <f t="shared" ca="1" si="5"/>
        <v>-2957</v>
      </c>
      <c r="U47" s="332">
        <v>41425</v>
      </c>
      <c r="V47" s="573" t="s">
        <v>1115</v>
      </c>
      <c r="W47" s="598" t="s">
        <v>1372</v>
      </c>
      <c r="X47" s="594"/>
      <c r="Y47" s="594"/>
      <c r="Z47" s="594"/>
      <c r="AA47" s="594"/>
      <c r="AB47" s="594"/>
      <c r="AC47" s="335">
        <v>41731</v>
      </c>
      <c r="AD47" s="336">
        <v>41061</v>
      </c>
      <c r="AE47" s="574">
        <f t="shared" ca="1" si="4"/>
        <v>1495</v>
      </c>
      <c r="AF47" s="591" t="s">
        <v>1295</v>
      </c>
    </row>
    <row r="48" spans="1:33" s="541" customFormat="1" ht="39" thickBot="1" x14ac:dyDescent="0.25">
      <c r="A48" s="474" t="s">
        <v>1126</v>
      </c>
      <c r="B48" s="299" t="s">
        <v>1353</v>
      </c>
      <c r="C48" s="299" t="s">
        <v>56</v>
      </c>
      <c r="D48" s="301" t="s">
        <v>1127</v>
      </c>
      <c r="E48" s="464" t="s">
        <v>1128</v>
      </c>
      <c r="F48" s="302">
        <v>6972.6</v>
      </c>
      <c r="G48" s="360">
        <v>512.4</v>
      </c>
      <c r="H48" s="360">
        <v>532.4</v>
      </c>
      <c r="I48" s="360">
        <v>643.20000000000005</v>
      </c>
      <c r="J48" s="360">
        <v>547.4</v>
      </c>
      <c r="K48" s="360">
        <v>499.8</v>
      </c>
      <c r="L48" s="360">
        <v>808.8</v>
      </c>
      <c r="M48" s="360">
        <v>785.6</v>
      </c>
      <c r="N48" s="360">
        <v>947.4</v>
      </c>
      <c r="O48" s="360">
        <v>612.4</v>
      </c>
      <c r="P48" s="360">
        <v>572.4</v>
      </c>
      <c r="Q48" s="360">
        <v>552.4</v>
      </c>
      <c r="R48" s="360">
        <v>725.8</v>
      </c>
      <c r="S48" s="360">
        <f t="shared" si="2"/>
        <v>7739.9999999999991</v>
      </c>
      <c r="T48" s="361">
        <f t="shared" ca="1" si="5"/>
        <v>-2206</v>
      </c>
      <c r="U48" s="303">
        <v>42176</v>
      </c>
      <c r="V48" s="359" t="s">
        <v>1693</v>
      </c>
      <c r="W48" s="362" t="s">
        <v>750</v>
      </c>
      <c r="X48" s="479"/>
      <c r="Y48" s="479"/>
      <c r="Z48" s="479"/>
      <c r="AA48" s="479"/>
      <c r="AB48" s="479"/>
      <c r="AC48" s="306"/>
      <c r="AD48" s="307">
        <v>41082</v>
      </c>
      <c r="AE48" s="363">
        <f t="shared" ca="1" si="4"/>
        <v>1474</v>
      </c>
      <c r="AF48" s="474" t="s">
        <v>96</v>
      </c>
    </row>
    <row r="49" spans="1:32" s="569" customFormat="1" ht="26.25" thickBot="1" x14ac:dyDescent="0.25">
      <c r="A49" s="591" t="s">
        <v>1130</v>
      </c>
      <c r="B49" s="592" t="s">
        <v>23</v>
      </c>
      <c r="C49" s="329" t="s">
        <v>56</v>
      </c>
      <c r="D49" s="379" t="s">
        <v>1134</v>
      </c>
      <c r="E49" s="593" t="s">
        <v>1144</v>
      </c>
      <c r="F49" s="331">
        <f>48220+8020</f>
        <v>56240</v>
      </c>
      <c r="G49" s="571">
        <f>236.89+3631.06</f>
        <v>3867.95</v>
      </c>
      <c r="H49" s="571">
        <f>225.56+1820.09+246.77</f>
        <v>2292.42</v>
      </c>
      <c r="I49" s="571">
        <v>0</v>
      </c>
      <c r="J49" s="571">
        <f>247.06+309.27</f>
        <v>556.32999999999993</v>
      </c>
      <c r="K49" s="571">
        <v>0</v>
      </c>
      <c r="L49" s="571">
        <v>260.93</v>
      </c>
      <c r="M49" s="571">
        <v>223.26</v>
      </c>
      <c r="N49" s="571">
        <v>213.57</v>
      </c>
      <c r="O49" s="571">
        <v>247.91</v>
      </c>
      <c r="P49" s="571">
        <v>268.13</v>
      </c>
      <c r="Q49" s="571">
        <v>273.16000000000003</v>
      </c>
      <c r="R49" s="571">
        <v>302.76</v>
      </c>
      <c r="S49" s="571">
        <f t="shared" si="2"/>
        <v>8506.42</v>
      </c>
      <c r="T49" s="572">
        <f t="shared" ca="1" si="5"/>
        <v>-2813</v>
      </c>
      <c r="U49" s="332">
        <v>41569</v>
      </c>
      <c r="V49" s="573" t="s">
        <v>1456</v>
      </c>
      <c r="W49" s="333" t="s">
        <v>1393</v>
      </c>
      <c r="X49" s="594"/>
      <c r="Y49" s="594"/>
      <c r="Z49" s="594"/>
      <c r="AA49" s="594"/>
      <c r="AB49" s="594"/>
      <c r="AC49" s="335">
        <v>41578</v>
      </c>
      <c r="AD49" s="336">
        <v>41144</v>
      </c>
      <c r="AE49" s="574">
        <f t="shared" ca="1" si="4"/>
        <v>1412</v>
      </c>
      <c r="AF49" s="591" t="s">
        <v>41</v>
      </c>
    </row>
    <row r="50" spans="1:32" s="541" customFormat="1" ht="51.75" thickBot="1" x14ac:dyDescent="0.25">
      <c r="A50" s="299" t="s">
        <v>1155</v>
      </c>
      <c r="B50" s="299" t="s">
        <v>1154</v>
      </c>
      <c r="C50" s="299" t="s">
        <v>613</v>
      </c>
      <c r="D50" s="301" t="s">
        <v>1050</v>
      </c>
      <c r="E50" s="301" t="s">
        <v>1209</v>
      </c>
      <c r="F50" s="302">
        <v>91712.52</v>
      </c>
      <c r="G50" s="360">
        <v>7187.5</v>
      </c>
      <c r="H50" s="360">
        <v>7187.5</v>
      </c>
      <c r="I50" s="360">
        <v>7187.5</v>
      </c>
      <c r="J50" s="360">
        <v>7187.52</v>
      </c>
      <c r="K50" s="360">
        <v>7187.5</v>
      </c>
      <c r="L50" s="360">
        <v>0</v>
      </c>
      <c r="M50" s="360">
        <v>7187.5</v>
      </c>
      <c r="N50" s="360">
        <v>7187.5</v>
      </c>
      <c r="O50" s="360">
        <f>7187.5+7642.71</f>
        <v>14830.21</v>
      </c>
      <c r="P50" s="360">
        <v>0</v>
      </c>
      <c r="Q50" s="360">
        <f>7642.71+7642.71</f>
        <v>15285.42</v>
      </c>
      <c r="R50" s="360">
        <v>7642.71</v>
      </c>
      <c r="S50" s="360">
        <f t="shared" si="2"/>
        <v>88070.860000000015</v>
      </c>
      <c r="T50" s="361">
        <f t="shared" ca="1" si="5"/>
        <v>-2150</v>
      </c>
      <c r="U50" s="303">
        <v>42232</v>
      </c>
      <c r="V50" s="359" t="s">
        <v>1689</v>
      </c>
      <c r="W50" s="362" t="s">
        <v>731</v>
      </c>
      <c r="X50" s="305"/>
      <c r="Y50" s="305"/>
      <c r="Z50" s="305"/>
      <c r="AA50" s="305"/>
      <c r="AB50" s="305"/>
      <c r="AC50" s="306"/>
      <c r="AD50" s="307">
        <v>41138</v>
      </c>
      <c r="AE50" s="363">
        <f ca="1">TODAY()-DATE(YEAR(AD50)+6,MONTH(AD50),DAY(AD50))</f>
        <v>1053</v>
      </c>
      <c r="AF50" s="299" t="s">
        <v>169</v>
      </c>
    </row>
    <row r="51" spans="1:32" s="541" customFormat="1" ht="24.75" customHeight="1" thickBot="1" x14ac:dyDescent="0.25">
      <c r="A51" s="299" t="s">
        <v>215</v>
      </c>
      <c r="B51" s="299" t="s">
        <v>23</v>
      </c>
      <c r="C51" s="299" t="s">
        <v>24</v>
      </c>
      <c r="D51" s="301" t="s">
        <v>216</v>
      </c>
      <c r="E51" s="301" t="s">
        <v>1389</v>
      </c>
      <c r="F51" s="302" t="s">
        <v>375</v>
      </c>
      <c r="G51" s="360">
        <f>534.3+1376.7</f>
        <v>1911</v>
      </c>
      <c r="H51" s="360">
        <v>1073.8</v>
      </c>
      <c r="I51" s="360">
        <v>1084.2</v>
      </c>
      <c r="J51" s="360">
        <v>715</v>
      </c>
      <c r="K51" s="360">
        <v>692.9</v>
      </c>
      <c r="L51" s="360">
        <v>626.6</v>
      </c>
      <c r="M51" s="360">
        <v>340.6</v>
      </c>
      <c r="N51" s="360">
        <v>639.6</v>
      </c>
      <c r="O51" s="360">
        <v>621.4</v>
      </c>
      <c r="P51" s="360">
        <v>716.3</v>
      </c>
      <c r="Q51" s="360">
        <v>1738.1</v>
      </c>
      <c r="R51" s="360">
        <v>775</v>
      </c>
      <c r="S51" s="360">
        <f t="shared" si="2"/>
        <v>10934.5</v>
      </c>
      <c r="T51" s="361">
        <f t="shared" ca="1" si="5"/>
        <v>-1353</v>
      </c>
      <c r="U51" s="303">
        <v>43029</v>
      </c>
      <c r="V51" s="359" t="s">
        <v>1157</v>
      </c>
      <c r="W51" s="362" t="s">
        <v>757</v>
      </c>
      <c r="X51" s="305"/>
      <c r="Y51" s="305"/>
      <c r="Z51" s="305"/>
      <c r="AA51" s="305"/>
      <c r="AB51" s="305"/>
      <c r="AC51" s="306"/>
      <c r="AD51" s="307">
        <v>41204</v>
      </c>
      <c r="AE51" s="363">
        <f ca="1">TODAY()-DATE(YEAR(AD51)+6,MONTH(AD51),DAY(AD51))</f>
        <v>987</v>
      </c>
      <c r="AF51" s="299" t="s">
        <v>169</v>
      </c>
    </row>
    <row r="52" spans="1:32" s="541" customFormat="1" ht="39" thickBot="1" x14ac:dyDescent="0.25">
      <c r="A52" s="299" t="s">
        <v>1158</v>
      </c>
      <c r="B52" s="299" t="s">
        <v>590</v>
      </c>
      <c r="C52" s="299"/>
      <c r="D52" s="301" t="s">
        <v>1423</v>
      </c>
      <c r="E52" s="301" t="s">
        <v>1160</v>
      </c>
      <c r="F52" s="302">
        <v>13598.16</v>
      </c>
      <c r="G52" s="360">
        <v>1601.4</v>
      </c>
      <c r="H52" s="360">
        <v>1207.92</v>
      </c>
      <c r="I52" s="360">
        <v>1668.84</v>
      </c>
      <c r="J52" s="360">
        <v>0</v>
      </c>
      <c r="K52" s="360">
        <f>172.02+1158.7+17.9+1996.76</f>
        <v>3345.38</v>
      </c>
      <c r="L52" s="360">
        <v>2616.38</v>
      </c>
      <c r="M52" s="360">
        <v>2382.1</v>
      </c>
      <c r="N52" s="360">
        <v>2604.7800000000002</v>
      </c>
      <c r="O52" s="360">
        <v>2532.12</v>
      </c>
      <c r="P52" s="360">
        <v>2557.14</v>
      </c>
      <c r="Q52" s="360">
        <v>0</v>
      </c>
      <c r="R52" s="360">
        <f>1868.52+1607.82</f>
        <v>3476.34</v>
      </c>
      <c r="S52" s="360">
        <f t="shared" si="2"/>
        <v>23992.400000000001</v>
      </c>
      <c r="T52" s="361">
        <f t="shared" ca="1" si="5"/>
        <v>-2104</v>
      </c>
      <c r="U52" s="303">
        <v>42278</v>
      </c>
      <c r="V52" s="359" t="s">
        <v>1611</v>
      </c>
      <c r="W52" s="362" t="s">
        <v>1394</v>
      </c>
      <c r="X52" s="305"/>
      <c r="Y52" s="305"/>
      <c r="Z52" s="305"/>
      <c r="AA52" s="305"/>
      <c r="AB52" s="305"/>
      <c r="AC52" s="306"/>
      <c r="AD52" s="307">
        <v>41186</v>
      </c>
      <c r="AE52" s="363">
        <f t="shared" ref="AE52:AE98" ca="1" si="6">TODAY()-DATE(YEAR(AD52)+6,MONTH(AD52),DAY(AD52))</f>
        <v>1005</v>
      </c>
      <c r="AF52" s="299" t="s">
        <v>48</v>
      </c>
    </row>
    <row r="53" spans="1:32" s="541" customFormat="1" ht="39" thickBot="1" x14ac:dyDescent="0.25">
      <c r="A53" s="299" t="s">
        <v>1170</v>
      </c>
      <c r="B53" s="299" t="s">
        <v>1374</v>
      </c>
      <c r="C53" s="299"/>
      <c r="D53" s="301" t="s">
        <v>1171</v>
      </c>
      <c r="E53" s="301" t="s">
        <v>1533</v>
      </c>
      <c r="F53" s="302">
        <v>8718.36</v>
      </c>
      <c r="G53" s="360">
        <v>726.53</v>
      </c>
      <c r="H53" s="360">
        <v>726.53</v>
      </c>
      <c r="I53" s="360">
        <v>0</v>
      </c>
      <c r="J53" s="360">
        <f>726.53+726.53</f>
        <v>1453.06</v>
      </c>
      <c r="K53" s="360">
        <v>726.53</v>
      </c>
      <c r="L53" s="360">
        <v>726.53</v>
      </c>
      <c r="M53" s="360">
        <v>0</v>
      </c>
      <c r="N53" s="360">
        <v>0</v>
      </c>
      <c r="O53" s="360">
        <v>0</v>
      </c>
      <c r="P53" s="360">
        <v>0</v>
      </c>
      <c r="Q53" s="360">
        <v>0</v>
      </c>
      <c r="R53" s="360">
        <v>0</v>
      </c>
      <c r="S53" s="360">
        <f t="shared" si="2"/>
        <v>4359.1799999999994</v>
      </c>
      <c r="T53" s="361">
        <f t="shared" ca="1" si="5"/>
        <v>-2448</v>
      </c>
      <c r="U53" s="303">
        <v>41934</v>
      </c>
      <c r="V53" s="359" t="s">
        <v>1424</v>
      </c>
      <c r="W53" s="362" t="s">
        <v>740</v>
      </c>
      <c r="X53" s="305"/>
      <c r="Y53" s="305"/>
      <c r="Z53" s="305"/>
      <c r="AA53" s="305"/>
      <c r="AB53" s="305"/>
      <c r="AC53" s="306">
        <v>41884</v>
      </c>
      <c r="AD53" s="307">
        <v>41204</v>
      </c>
      <c r="AE53" s="363">
        <f t="shared" ca="1" si="6"/>
        <v>987</v>
      </c>
      <c r="AF53" s="299" t="s">
        <v>48</v>
      </c>
    </row>
    <row r="54" spans="1:32" s="541" customFormat="1" ht="90" thickBot="1" x14ac:dyDescent="0.25">
      <c r="A54" s="299" t="s">
        <v>1174</v>
      </c>
      <c r="B54" s="299" t="s">
        <v>23</v>
      </c>
      <c r="C54" s="299"/>
      <c r="D54" s="301" t="s">
        <v>1768</v>
      </c>
      <c r="E54" s="301" t="s">
        <v>1534</v>
      </c>
      <c r="F54" s="302">
        <v>131897.70000000001</v>
      </c>
      <c r="G54" s="360">
        <f>4214.82+3109.03</f>
        <v>7323.85</v>
      </c>
      <c r="H54" s="360">
        <v>7892.08</v>
      </c>
      <c r="I54" s="360">
        <v>3025.42</v>
      </c>
      <c r="J54" s="360">
        <v>7819.02</v>
      </c>
      <c r="K54" s="360">
        <v>6449.92</v>
      </c>
      <c r="L54" s="360">
        <v>6017.9400000000005</v>
      </c>
      <c r="M54" s="360">
        <v>7236.3099999999995</v>
      </c>
      <c r="N54" s="360">
        <v>5621.42</v>
      </c>
      <c r="O54" s="360">
        <v>4972.5300000000007</v>
      </c>
      <c r="P54" s="360">
        <v>6065.62</v>
      </c>
      <c r="Q54" s="360">
        <v>5805.91</v>
      </c>
      <c r="R54" s="360">
        <v>5655.58</v>
      </c>
      <c r="S54" s="360">
        <f t="shared" si="2"/>
        <v>73885.600000000006</v>
      </c>
      <c r="T54" s="361">
        <f t="shared" ca="1" si="5"/>
        <v>-2076</v>
      </c>
      <c r="U54" s="303">
        <v>42306</v>
      </c>
      <c r="V54" s="359" t="s">
        <v>1613</v>
      </c>
      <c r="W54" s="362" t="s">
        <v>1397</v>
      </c>
      <c r="X54" s="305"/>
      <c r="Y54" s="305"/>
      <c r="Z54" s="305"/>
      <c r="AA54" s="305"/>
      <c r="AB54" s="305"/>
      <c r="AC54" s="306"/>
      <c r="AD54" s="307">
        <v>41212</v>
      </c>
      <c r="AE54" s="363">
        <f t="shared" ca="1" si="6"/>
        <v>979</v>
      </c>
      <c r="AF54" s="299" t="s">
        <v>48</v>
      </c>
    </row>
    <row r="55" spans="1:32" s="541" customFormat="1" ht="39" thickBot="1" x14ac:dyDescent="0.25">
      <c r="A55" s="299" t="s">
        <v>1685</v>
      </c>
      <c r="B55" s="299" t="s">
        <v>1353</v>
      </c>
      <c r="C55" s="299" t="s">
        <v>56</v>
      </c>
      <c r="D55" s="301" t="s">
        <v>83</v>
      </c>
      <c r="E55" s="301" t="s">
        <v>1492</v>
      </c>
      <c r="F55" s="302">
        <v>10800</v>
      </c>
      <c r="G55" s="360">
        <v>634.4</v>
      </c>
      <c r="H55" s="360">
        <v>930</v>
      </c>
      <c r="I55" s="360">
        <v>954</v>
      </c>
      <c r="J55" s="360">
        <v>960</v>
      </c>
      <c r="K55" s="360">
        <v>1020</v>
      </c>
      <c r="L55" s="360">
        <v>972</v>
      </c>
      <c r="M55" s="360">
        <v>960</v>
      </c>
      <c r="N55" s="360">
        <v>1146</v>
      </c>
      <c r="O55" s="360">
        <v>1158</v>
      </c>
      <c r="P55" s="360">
        <v>1188</v>
      </c>
      <c r="Q55" s="360">
        <v>1044</v>
      </c>
      <c r="R55" s="360">
        <v>846</v>
      </c>
      <c r="S55" s="360">
        <f t="shared" si="2"/>
        <v>11812.4</v>
      </c>
      <c r="T55" s="361">
        <f t="shared" ca="1" si="5"/>
        <v>-2328</v>
      </c>
      <c r="U55" s="303">
        <v>42054</v>
      </c>
      <c r="V55" s="359" t="s">
        <v>1493</v>
      </c>
      <c r="W55" s="362" t="s">
        <v>730</v>
      </c>
      <c r="X55" s="305"/>
      <c r="Y55" s="305"/>
      <c r="Z55" s="305"/>
      <c r="AA55" s="305"/>
      <c r="AB55" s="305"/>
      <c r="AC55" s="306">
        <v>41992</v>
      </c>
      <c r="AD55" s="307">
        <v>41690</v>
      </c>
      <c r="AE55" s="363">
        <f t="shared" ca="1" si="6"/>
        <v>501</v>
      </c>
      <c r="AF55" s="299" t="s">
        <v>48</v>
      </c>
    </row>
    <row r="56" spans="1:32" s="541" customFormat="1" ht="51.75" thickBot="1" x14ac:dyDescent="0.25">
      <c r="A56" s="299" t="s">
        <v>1201</v>
      </c>
      <c r="B56" s="399" t="s">
        <v>1321</v>
      </c>
      <c r="C56" s="299" t="s">
        <v>617</v>
      </c>
      <c r="D56" s="399" t="s">
        <v>1202</v>
      </c>
      <c r="E56" s="301" t="s">
        <v>1476</v>
      </c>
      <c r="F56" s="302" t="s">
        <v>1477</v>
      </c>
      <c r="G56" s="360">
        <v>460</v>
      </c>
      <c r="H56" s="360">
        <v>460</v>
      </c>
      <c r="I56" s="360">
        <v>485.66</v>
      </c>
      <c r="J56" s="360">
        <f>485.66+485.59</f>
        <v>971.25</v>
      </c>
      <c r="K56" s="360">
        <v>485.59</v>
      </c>
      <c r="L56" s="360">
        <v>485.66</v>
      </c>
      <c r="M56" s="360">
        <v>515.89</v>
      </c>
      <c r="N56" s="360">
        <v>495.3</v>
      </c>
      <c r="O56" s="360">
        <v>495.3</v>
      </c>
      <c r="P56" s="360">
        <v>485.59</v>
      </c>
      <c r="Q56" s="360">
        <v>495.3</v>
      </c>
      <c r="R56" s="360">
        <v>495.3</v>
      </c>
      <c r="S56" s="360">
        <f t="shared" si="2"/>
        <v>6330.84</v>
      </c>
      <c r="T56" s="361">
        <f t="shared" ca="1" si="5"/>
        <v>-2351</v>
      </c>
      <c r="U56" s="303">
        <v>42031</v>
      </c>
      <c r="V56" s="359" t="s">
        <v>1478</v>
      </c>
      <c r="W56" s="362" t="s">
        <v>1322</v>
      </c>
      <c r="X56" s="305"/>
      <c r="Y56" s="305"/>
      <c r="Z56" s="305"/>
      <c r="AA56" s="305"/>
      <c r="AB56" s="305"/>
      <c r="AC56" s="306">
        <v>41975</v>
      </c>
      <c r="AD56" s="307">
        <v>41302</v>
      </c>
      <c r="AE56" s="363">
        <f t="shared" ca="1" si="6"/>
        <v>889</v>
      </c>
      <c r="AF56" s="299" t="s">
        <v>96</v>
      </c>
    </row>
    <row r="57" spans="1:32" s="569" customFormat="1" ht="26.25" thickBot="1" x14ac:dyDescent="0.25">
      <c r="A57" s="329" t="s">
        <v>1391</v>
      </c>
      <c r="B57" s="329"/>
      <c r="C57" s="329"/>
      <c r="D57" s="379" t="s">
        <v>1228</v>
      </c>
      <c r="E57" s="379" t="s">
        <v>1229</v>
      </c>
      <c r="F57" s="331">
        <v>4788</v>
      </c>
      <c r="G57" s="571">
        <v>399</v>
      </c>
      <c r="H57" s="571">
        <v>399</v>
      </c>
      <c r="I57" s="571">
        <v>399</v>
      </c>
      <c r="J57" s="571">
        <f>439+399</f>
        <v>838</v>
      </c>
      <c r="K57" s="571">
        <v>399</v>
      </c>
      <c r="L57" s="571">
        <v>0</v>
      </c>
      <c r="M57" s="571">
        <v>399</v>
      </c>
      <c r="N57" s="571">
        <v>399</v>
      </c>
      <c r="O57" s="571">
        <v>399</v>
      </c>
      <c r="P57" s="571">
        <f>399+399</f>
        <v>798</v>
      </c>
      <c r="Q57" s="571">
        <v>0</v>
      </c>
      <c r="R57" s="607">
        <f>399+399</f>
        <v>798</v>
      </c>
      <c r="S57" s="571">
        <f t="shared" ref="S57:S112" si="7">SUM(G57:R57)</f>
        <v>5227</v>
      </c>
      <c r="T57" s="572">
        <f t="shared" ca="1" si="5"/>
        <v>-2690</v>
      </c>
      <c r="U57" s="332">
        <v>41692</v>
      </c>
      <c r="V57" s="573" t="s">
        <v>1230</v>
      </c>
      <c r="W57" s="333"/>
      <c r="X57" s="334"/>
      <c r="Y57" s="334"/>
      <c r="Z57" s="334"/>
      <c r="AA57" s="334"/>
      <c r="AB57" s="334"/>
      <c r="AC57" s="335">
        <v>41667</v>
      </c>
      <c r="AD57" s="336">
        <v>41327</v>
      </c>
      <c r="AE57" s="574">
        <f t="shared" ca="1" si="6"/>
        <v>864</v>
      </c>
      <c r="AF57" s="329" t="s">
        <v>41</v>
      </c>
    </row>
    <row r="58" spans="1:32" s="541" customFormat="1" ht="51.75" thickBot="1" x14ac:dyDescent="0.25">
      <c r="A58" s="299" t="s">
        <v>1332</v>
      </c>
      <c r="B58" s="299" t="s">
        <v>1353</v>
      </c>
      <c r="C58" s="299"/>
      <c r="D58" s="301" t="s">
        <v>194</v>
      </c>
      <c r="E58" s="301" t="s">
        <v>1333</v>
      </c>
      <c r="F58" s="302">
        <v>15600</v>
      </c>
      <c r="G58" s="360">
        <v>1300</v>
      </c>
      <c r="H58" s="360">
        <v>3755</v>
      </c>
      <c r="I58" s="360">
        <v>4855</v>
      </c>
      <c r="J58" s="360">
        <v>3170</v>
      </c>
      <c r="K58" s="360">
        <v>4460</v>
      </c>
      <c r="L58" s="360">
        <v>3000</v>
      </c>
      <c r="M58" s="360">
        <v>1300</v>
      </c>
      <c r="N58" s="360">
        <v>5300</v>
      </c>
      <c r="O58" s="360">
        <v>3250</v>
      </c>
      <c r="P58" s="360">
        <v>1300</v>
      </c>
      <c r="Q58" s="360">
        <v>4600</v>
      </c>
      <c r="R58" s="360">
        <v>4466</v>
      </c>
      <c r="S58" s="360">
        <f t="shared" si="7"/>
        <v>40756</v>
      </c>
      <c r="T58" s="361">
        <f ca="1">U58-$AE$3</f>
        <v>-2277</v>
      </c>
      <c r="U58" s="303">
        <v>42105</v>
      </c>
      <c r="V58" s="359" t="s">
        <v>1506</v>
      </c>
      <c r="W58" s="362" t="s">
        <v>734</v>
      </c>
      <c r="X58" s="305"/>
      <c r="Y58" s="305"/>
      <c r="Z58" s="305"/>
      <c r="AA58" s="305"/>
      <c r="AB58" s="305"/>
      <c r="AC58" s="306">
        <v>42044</v>
      </c>
      <c r="AD58" s="307">
        <v>41376</v>
      </c>
      <c r="AE58" s="363">
        <f t="shared" ca="1" si="6"/>
        <v>815</v>
      </c>
      <c r="AF58" s="299" t="s">
        <v>48</v>
      </c>
    </row>
    <row r="59" spans="1:32" s="541" customFormat="1" ht="39" thickBot="1" x14ac:dyDescent="0.25">
      <c r="A59" s="299" t="s">
        <v>1248</v>
      </c>
      <c r="B59" s="299" t="s">
        <v>1330</v>
      </c>
      <c r="C59" s="299"/>
      <c r="D59" s="301" t="s">
        <v>1694</v>
      </c>
      <c r="E59" s="301" t="s">
        <v>1249</v>
      </c>
      <c r="F59" s="302">
        <v>20306.28</v>
      </c>
      <c r="G59" s="360">
        <v>1605.72</v>
      </c>
      <c r="H59" s="360">
        <v>1605.72</v>
      </c>
      <c r="I59" s="360">
        <v>1605.72</v>
      </c>
      <c r="J59" s="360">
        <v>1605.72</v>
      </c>
      <c r="K59" s="360">
        <f>1692.19+2911.87</f>
        <v>4604.0599999999995</v>
      </c>
      <c r="L59" s="360">
        <v>1739.4</v>
      </c>
      <c r="M59" s="360">
        <v>1739.4</v>
      </c>
      <c r="N59" s="360">
        <v>1692.19</v>
      </c>
      <c r="O59" s="360">
        <v>1692.19</v>
      </c>
      <c r="P59" s="360">
        <v>1776.8</v>
      </c>
      <c r="Q59" s="360">
        <v>1692.19</v>
      </c>
      <c r="R59" s="360">
        <v>1776.8</v>
      </c>
      <c r="S59" s="360">
        <f t="shared" si="7"/>
        <v>23135.909999999996</v>
      </c>
      <c r="T59" s="361">
        <f t="shared" ref="T59:T114" ca="1" si="8">U59-$AE$3</f>
        <v>-2312</v>
      </c>
      <c r="U59" s="303">
        <v>42070</v>
      </c>
      <c r="V59" s="359" t="s">
        <v>1518</v>
      </c>
      <c r="W59" s="362" t="s">
        <v>1331</v>
      </c>
      <c r="X59" s="305"/>
      <c r="Y59" s="305"/>
      <c r="Z59" s="305"/>
      <c r="AA59" s="305"/>
      <c r="AB59" s="305"/>
      <c r="AC59" s="306">
        <v>42010</v>
      </c>
      <c r="AD59" s="307">
        <v>41341</v>
      </c>
      <c r="AE59" s="363">
        <f t="shared" ca="1" si="6"/>
        <v>850</v>
      </c>
      <c r="AF59" s="299" t="s">
        <v>96</v>
      </c>
    </row>
    <row r="60" spans="1:32" s="541" customFormat="1" ht="39" thickBot="1" x14ac:dyDescent="0.25">
      <c r="A60" s="299" t="s">
        <v>1319</v>
      </c>
      <c r="B60" s="299" t="s">
        <v>1353</v>
      </c>
      <c r="C60" s="299" t="s">
        <v>56</v>
      </c>
      <c r="D60" s="301" t="s">
        <v>1264</v>
      </c>
      <c r="E60" s="301" t="s">
        <v>1265</v>
      </c>
      <c r="F60" s="302">
        <v>7800</v>
      </c>
      <c r="G60" s="360">
        <v>650</v>
      </c>
      <c r="H60" s="360">
        <f>650+3950</f>
        <v>4600</v>
      </c>
      <c r="I60" s="360">
        <v>650</v>
      </c>
      <c r="J60" s="360">
        <v>650</v>
      </c>
      <c r="K60" s="360">
        <v>650</v>
      </c>
      <c r="L60" s="360">
        <v>650</v>
      </c>
      <c r="M60" s="360">
        <v>650</v>
      </c>
      <c r="N60" s="360">
        <v>0</v>
      </c>
      <c r="O60" s="360">
        <v>0</v>
      </c>
      <c r="P60" s="360">
        <v>0</v>
      </c>
      <c r="Q60" s="360">
        <v>0</v>
      </c>
      <c r="R60" s="360">
        <v>0</v>
      </c>
      <c r="S60" s="360">
        <f t="shared" si="7"/>
        <v>8500</v>
      </c>
      <c r="T60" s="361">
        <f t="shared" ca="1" si="8"/>
        <v>-2558</v>
      </c>
      <c r="U60" s="303">
        <v>41824</v>
      </c>
      <c r="V60" s="359" t="s">
        <v>1261</v>
      </c>
      <c r="W60" s="362" t="s">
        <v>1320</v>
      </c>
      <c r="X60" s="305"/>
      <c r="Y60" s="305"/>
      <c r="Z60" s="305"/>
      <c r="AA60" s="305"/>
      <c r="AB60" s="305"/>
      <c r="AC60" s="306">
        <v>41775</v>
      </c>
      <c r="AD60" s="307">
        <v>41460</v>
      </c>
      <c r="AE60" s="363">
        <f t="shared" ca="1" si="6"/>
        <v>731</v>
      </c>
      <c r="AF60" s="299" t="s">
        <v>48</v>
      </c>
    </row>
    <row r="61" spans="1:32" s="541" customFormat="1" ht="39" thickBot="1" x14ac:dyDescent="0.25">
      <c r="A61" s="299" t="s">
        <v>1316</v>
      </c>
      <c r="B61" s="399" t="s">
        <v>1317</v>
      </c>
      <c r="C61" s="299" t="s">
        <v>1290</v>
      </c>
      <c r="D61" s="301" t="s">
        <v>1267</v>
      </c>
      <c r="E61" s="301" t="s">
        <v>1665</v>
      </c>
      <c r="F61" s="302">
        <v>105000</v>
      </c>
      <c r="G61" s="360">
        <v>0</v>
      </c>
      <c r="H61" s="360">
        <v>0</v>
      </c>
      <c r="I61" s="360">
        <v>3500</v>
      </c>
      <c r="J61" s="360">
        <v>3500</v>
      </c>
      <c r="K61" s="360">
        <v>3500</v>
      </c>
      <c r="L61" s="360">
        <v>3500</v>
      </c>
      <c r="M61" s="360">
        <v>0</v>
      </c>
      <c r="N61" s="360">
        <v>0</v>
      </c>
      <c r="O61" s="360">
        <f>3500+3500</f>
        <v>7000</v>
      </c>
      <c r="P61" s="360">
        <v>3602.81</v>
      </c>
      <c r="Q61" s="360">
        <v>3500</v>
      </c>
      <c r="R61" s="360">
        <v>3500</v>
      </c>
      <c r="S61" s="360">
        <f t="shared" si="7"/>
        <v>31602.81</v>
      </c>
      <c r="T61" s="361">
        <f t="shared" ca="1" si="8"/>
        <v>-1983</v>
      </c>
      <c r="U61" s="303">
        <v>42399</v>
      </c>
      <c r="V61" s="359" t="s">
        <v>1262</v>
      </c>
      <c r="W61" s="362" t="s">
        <v>1378</v>
      </c>
      <c r="X61" s="305"/>
      <c r="Y61" s="305"/>
      <c r="Z61" s="305"/>
      <c r="AA61" s="305"/>
      <c r="AB61" s="305"/>
      <c r="AC61" s="306"/>
      <c r="AD61" s="307">
        <v>41486</v>
      </c>
      <c r="AE61" s="363">
        <f t="shared" ca="1" si="6"/>
        <v>705</v>
      </c>
      <c r="AF61" s="299"/>
    </row>
    <row r="62" spans="1:32" s="308" customFormat="1" ht="64.5" thickBot="1" x14ac:dyDescent="0.25">
      <c r="A62" s="299" t="s">
        <v>1271</v>
      </c>
      <c r="B62" s="299"/>
      <c r="C62" s="299"/>
      <c r="D62" s="301" t="s">
        <v>1272</v>
      </c>
      <c r="E62" s="301" t="s">
        <v>1273</v>
      </c>
      <c r="F62" s="302">
        <v>117808.32000000001</v>
      </c>
      <c r="G62" s="360">
        <v>10312.18</v>
      </c>
      <c r="H62" s="360">
        <v>0</v>
      </c>
      <c r="I62" s="360">
        <f>14121.62+12691.07</f>
        <v>26812.690000000002</v>
      </c>
      <c r="J62" s="360">
        <v>10846.85</v>
      </c>
      <c r="K62" s="360">
        <v>14174.48</v>
      </c>
      <c r="L62" s="360">
        <v>14113.39</v>
      </c>
      <c r="M62" s="360">
        <v>11585.04</v>
      </c>
      <c r="N62" s="360">
        <v>15103.61</v>
      </c>
      <c r="O62" s="360">
        <v>17379.599999999999</v>
      </c>
      <c r="P62" s="360">
        <v>20766.12</v>
      </c>
      <c r="Q62" s="360">
        <v>26221.03</v>
      </c>
      <c r="R62" s="360">
        <v>21527.88</v>
      </c>
      <c r="S62" s="360">
        <f t="shared" si="7"/>
        <v>188842.87</v>
      </c>
      <c r="T62" s="361">
        <f t="shared" ca="1" si="8"/>
        <v>-2166</v>
      </c>
      <c r="U62" s="303">
        <v>42216</v>
      </c>
      <c r="V62" s="304" t="s">
        <v>1696</v>
      </c>
      <c r="W62" s="362" t="s">
        <v>1377</v>
      </c>
      <c r="X62" s="305"/>
      <c r="Y62" s="305"/>
      <c r="Z62" s="305"/>
      <c r="AA62" s="305"/>
      <c r="AB62" s="305"/>
      <c r="AC62" s="306"/>
      <c r="AD62" s="307">
        <v>41487</v>
      </c>
      <c r="AE62" s="363">
        <f t="shared" ca="1" si="6"/>
        <v>704</v>
      </c>
      <c r="AF62" s="299"/>
    </row>
    <row r="63" spans="1:32" s="541" customFormat="1" ht="39" thickBot="1" x14ac:dyDescent="0.25">
      <c r="A63" s="299" t="s">
        <v>1311</v>
      </c>
      <c r="B63" s="299" t="s">
        <v>1353</v>
      </c>
      <c r="C63" s="299"/>
      <c r="D63" s="301" t="s">
        <v>1280</v>
      </c>
      <c r="E63" s="301" t="s">
        <v>1281</v>
      </c>
      <c r="F63" s="302">
        <v>6000</v>
      </c>
      <c r="G63" s="360">
        <v>0</v>
      </c>
      <c r="H63" s="360">
        <v>1000</v>
      </c>
      <c r="I63" s="360">
        <v>0</v>
      </c>
      <c r="J63" s="360">
        <v>0</v>
      </c>
      <c r="K63" s="360">
        <v>0</v>
      </c>
      <c r="L63" s="360">
        <v>0</v>
      </c>
      <c r="M63" s="360">
        <v>0</v>
      </c>
      <c r="N63" s="360">
        <v>0</v>
      </c>
      <c r="O63" s="360">
        <v>0</v>
      </c>
      <c r="P63" s="360">
        <v>0</v>
      </c>
      <c r="Q63" s="360">
        <v>0</v>
      </c>
      <c r="R63" s="360">
        <v>0</v>
      </c>
      <c r="S63" s="360">
        <f t="shared" si="7"/>
        <v>1000</v>
      </c>
      <c r="T63" s="361">
        <f t="shared" ca="1" si="8"/>
        <v>-2698</v>
      </c>
      <c r="U63" s="303">
        <v>41684</v>
      </c>
      <c r="V63" s="359" t="s">
        <v>1275</v>
      </c>
      <c r="W63" s="362" t="s">
        <v>1312</v>
      </c>
      <c r="X63" s="305"/>
      <c r="Y63" s="305"/>
      <c r="Z63" s="305"/>
      <c r="AA63" s="305"/>
      <c r="AB63" s="305"/>
      <c r="AC63" s="306">
        <v>41621</v>
      </c>
      <c r="AD63" s="307">
        <v>41501</v>
      </c>
      <c r="AE63" s="363">
        <f t="shared" ca="1" si="6"/>
        <v>690</v>
      </c>
      <c r="AF63" s="299" t="s">
        <v>1454</v>
      </c>
    </row>
    <row r="64" spans="1:32" s="541" customFormat="1" ht="39" thickBot="1" x14ac:dyDescent="0.25">
      <c r="A64" s="299" t="s">
        <v>1277</v>
      </c>
      <c r="B64" s="399" t="s">
        <v>1309</v>
      </c>
      <c r="C64" s="299" t="s">
        <v>1290</v>
      </c>
      <c r="D64" s="301" t="s">
        <v>1282</v>
      </c>
      <c r="E64" s="301" t="s">
        <v>1621</v>
      </c>
      <c r="F64" s="302" t="s">
        <v>1622</v>
      </c>
      <c r="G64" s="360">
        <v>41041.660000000003</v>
      </c>
      <c r="H64" s="360">
        <v>45556.240000000005</v>
      </c>
      <c r="I64" s="360">
        <v>41041.660000000003</v>
      </c>
      <c r="J64" s="360">
        <v>41041.660000000003</v>
      </c>
      <c r="K64" s="360">
        <v>41041.660000000003</v>
      </c>
      <c r="L64" s="360">
        <v>41041.660000000003</v>
      </c>
      <c r="M64" s="360">
        <v>41041.660000000003</v>
      </c>
      <c r="N64" s="360">
        <v>41041.660000000003</v>
      </c>
      <c r="O64" s="360">
        <v>41041.660000000003</v>
      </c>
      <c r="P64" s="360">
        <v>41041.660000000003</v>
      </c>
      <c r="Q64" s="360">
        <f>41041.66+8143.52</f>
        <v>49185.180000000008</v>
      </c>
      <c r="R64" s="360">
        <v>43077.54</v>
      </c>
      <c r="S64" s="360">
        <f t="shared" si="7"/>
        <v>507193.90000000014</v>
      </c>
      <c r="T64" s="361">
        <f t="shared" ca="1" si="8"/>
        <v>-966</v>
      </c>
      <c r="U64" s="303">
        <v>43416</v>
      </c>
      <c r="V64" s="359" t="s">
        <v>1623</v>
      </c>
      <c r="W64" s="362" t="s">
        <v>1310</v>
      </c>
      <c r="X64" s="305"/>
      <c r="Y64" s="305"/>
      <c r="Z64" s="305"/>
      <c r="AA64" s="305"/>
      <c r="AB64" s="305"/>
      <c r="AC64" s="306"/>
      <c r="AD64" s="307">
        <v>41515</v>
      </c>
      <c r="AE64" s="363">
        <f t="shared" ca="1" si="6"/>
        <v>676</v>
      </c>
      <c r="AF64" s="299" t="s">
        <v>41</v>
      </c>
    </row>
    <row r="65" spans="1:33" s="541" customFormat="1" ht="26.25" thickBot="1" x14ac:dyDescent="0.25">
      <c r="A65" s="299" t="s">
        <v>1411</v>
      </c>
      <c r="B65" s="399" t="s">
        <v>1412</v>
      </c>
      <c r="C65" s="299" t="s">
        <v>1290</v>
      </c>
      <c r="D65" s="301" t="s">
        <v>1285</v>
      </c>
      <c r="E65" s="301" t="s">
        <v>1590</v>
      </c>
      <c r="F65" s="302">
        <v>3100</v>
      </c>
      <c r="G65" s="360">
        <v>0</v>
      </c>
      <c r="H65" s="360">
        <v>0</v>
      </c>
      <c r="I65" s="360">
        <v>0</v>
      </c>
      <c r="J65" s="360">
        <v>0</v>
      </c>
      <c r="K65" s="360">
        <v>0</v>
      </c>
      <c r="L65" s="360">
        <v>0</v>
      </c>
      <c r="M65" s="360">
        <v>0</v>
      </c>
      <c r="N65" s="360">
        <v>0</v>
      </c>
      <c r="O65" s="360">
        <v>0</v>
      </c>
      <c r="P65" s="360">
        <v>3100</v>
      </c>
      <c r="Q65" s="360">
        <v>0</v>
      </c>
      <c r="R65" s="284" t="s">
        <v>1769</v>
      </c>
      <c r="S65" s="360">
        <f t="shared" si="7"/>
        <v>3100</v>
      </c>
      <c r="T65" s="361">
        <f t="shared" ca="1" si="8"/>
        <v>-2135</v>
      </c>
      <c r="U65" s="303">
        <v>42247</v>
      </c>
      <c r="V65" s="359" t="s">
        <v>1591</v>
      </c>
      <c r="W65" s="362" t="s">
        <v>1399</v>
      </c>
      <c r="X65" s="305"/>
      <c r="Y65" s="305"/>
      <c r="Z65" s="305"/>
      <c r="AA65" s="305"/>
      <c r="AB65" s="305"/>
      <c r="AC65" s="306"/>
      <c r="AD65" s="307">
        <v>41512</v>
      </c>
      <c r="AE65" s="363">
        <f t="shared" ca="1" si="6"/>
        <v>679</v>
      </c>
      <c r="AF65" s="299" t="s">
        <v>48</v>
      </c>
    </row>
    <row r="66" spans="1:33" s="541" customFormat="1" ht="26.25" thickBot="1" x14ac:dyDescent="0.25">
      <c r="A66" s="299" t="s">
        <v>1341</v>
      </c>
      <c r="B66" s="299"/>
      <c r="C66" s="299"/>
      <c r="D66" s="301" t="s">
        <v>1342</v>
      </c>
      <c r="E66" s="301" t="s">
        <v>1343</v>
      </c>
      <c r="F66" s="302">
        <v>41030.28</v>
      </c>
      <c r="G66" s="360">
        <v>0</v>
      </c>
      <c r="H66" s="360">
        <v>0</v>
      </c>
      <c r="I66" s="360">
        <v>0</v>
      </c>
      <c r="J66" s="360">
        <v>11741.42</v>
      </c>
      <c r="K66" s="360">
        <v>10585.5</v>
      </c>
      <c r="L66" s="360">
        <v>7868.01</v>
      </c>
      <c r="M66" s="360">
        <v>6137.16</v>
      </c>
      <c r="N66" s="360">
        <f>1800+8232.29</f>
        <v>10032.290000000001</v>
      </c>
      <c r="O66" s="360">
        <v>10975.25</v>
      </c>
      <c r="P66" s="360">
        <v>10636.15</v>
      </c>
      <c r="Q66" s="360">
        <v>9425.02</v>
      </c>
      <c r="R66" s="360">
        <v>8008.06</v>
      </c>
      <c r="S66" s="360">
        <f>SUM(G66:R66)</f>
        <v>85408.86</v>
      </c>
      <c r="T66" s="361">
        <f t="shared" ca="1" si="8"/>
        <v>-2237</v>
      </c>
      <c r="U66" s="303">
        <v>42145</v>
      </c>
      <c r="V66" s="359" t="s">
        <v>1691</v>
      </c>
      <c r="W66" s="362" t="s">
        <v>840</v>
      </c>
      <c r="X66" s="305"/>
      <c r="Y66" s="305"/>
      <c r="Z66" s="305"/>
      <c r="AA66" s="305"/>
      <c r="AB66" s="305"/>
      <c r="AC66" s="306"/>
      <c r="AD66" s="307">
        <v>41415</v>
      </c>
      <c r="AE66" s="363">
        <f ca="1">TODAY()-DATE(YEAR(AD66)+6,MONTH(AD66),DAY(AD66))</f>
        <v>776</v>
      </c>
      <c r="AF66" s="299" t="s">
        <v>29</v>
      </c>
    </row>
    <row r="67" spans="1:33" s="541" customFormat="1" ht="39" thickBot="1" x14ac:dyDescent="0.25">
      <c r="A67" s="299" t="s">
        <v>1380</v>
      </c>
      <c r="B67" s="399" t="s">
        <v>1384</v>
      </c>
      <c r="C67" s="299" t="s">
        <v>772</v>
      </c>
      <c r="D67" s="301" t="s">
        <v>1381</v>
      </c>
      <c r="E67" s="301" t="s">
        <v>1351</v>
      </c>
      <c r="F67" s="302">
        <v>256181.76000000001</v>
      </c>
      <c r="G67" s="360">
        <v>16204.85</v>
      </c>
      <c r="H67" s="360">
        <v>15310.42</v>
      </c>
      <c r="I67" s="360">
        <v>13143.66</v>
      </c>
      <c r="J67" s="360">
        <v>12268.16</v>
      </c>
      <c r="K67" s="360">
        <v>14489.85</v>
      </c>
      <c r="L67" s="360">
        <v>14479.17</v>
      </c>
      <c r="M67" s="360">
        <v>14749.28</v>
      </c>
      <c r="N67" s="360">
        <v>13950.63</v>
      </c>
      <c r="O67" s="360">
        <v>12815.7</v>
      </c>
      <c r="P67" s="360">
        <v>13418.81</v>
      </c>
      <c r="Q67" s="360">
        <v>13979.88</v>
      </c>
      <c r="R67" s="360">
        <v>13636.31</v>
      </c>
      <c r="S67" s="360">
        <f>SUM(G67:R67)</f>
        <v>168446.72</v>
      </c>
      <c r="T67" s="361">
        <f t="shared" ca="1" si="8"/>
        <v>-2105</v>
      </c>
      <c r="U67" s="303">
        <v>42277</v>
      </c>
      <c r="V67" s="359" t="s">
        <v>1609</v>
      </c>
      <c r="W67" s="362" t="s">
        <v>751</v>
      </c>
      <c r="X67" s="305"/>
      <c r="Y67" s="305"/>
      <c r="Z67" s="305"/>
      <c r="AA67" s="305"/>
      <c r="AB67" s="305"/>
      <c r="AC67" s="306"/>
      <c r="AD67" s="307">
        <v>41548</v>
      </c>
      <c r="AE67" s="363">
        <f ca="1">TODAY()-DATE(YEAR(AD67)+6,MONTH(AD67),DAY(AD67))</f>
        <v>643</v>
      </c>
      <c r="AF67" s="299" t="s">
        <v>96</v>
      </c>
    </row>
    <row r="68" spans="1:33" s="541" customFormat="1" ht="26.25" thickBot="1" x14ac:dyDescent="0.25">
      <c r="A68" s="299" t="s">
        <v>1414</v>
      </c>
      <c r="B68" s="299"/>
      <c r="C68" s="299" t="s">
        <v>61</v>
      </c>
      <c r="D68" s="301" t="s">
        <v>1415</v>
      </c>
      <c r="E68" s="301" t="s">
        <v>1416</v>
      </c>
      <c r="F68" s="302">
        <v>2644.63</v>
      </c>
      <c r="G68" s="360">
        <v>0</v>
      </c>
      <c r="H68" s="360">
        <v>0</v>
      </c>
      <c r="I68" s="360">
        <v>0</v>
      </c>
      <c r="J68" s="360">
        <v>0</v>
      </c>
      <c r="K68" s="360">
        <v>0</v>
      </c>
      <c r="L68" s="360">
        <v>0</v>
      </c>
      <c r="M68" s="360">
        <v>0</v>
      </c>
      <c r="N68" s="360">
        <v>0</v>
      </c>
      <c r="O68" s="360">
        <v>0</v>
      </c>
      <c r="P68" s="360">
        <v>2921.61</v>
      </c>
      <c r="Q68" s="360">
        <v>0</v>
      </c>
      <c r="R68" s="360">
        <v>0</v>
      </c>
      <c r="S68" s="360">
        <f t="shared" si="7"/>
        <v>2921.61</v>
      </c>
      <c r="T68" s="361">
        <f t="shared" ca="1" si="8"/>
        <v>-2465</v>
      </c>
      <c r="U68" s="303">
        <v>41917</v>
      </c>
      <c r="V68" s="359" t="s">
        <v>1417</v>
      </c>
      <c r="W68" s="362"/>
      <c r="X68" s="305"/>
      <c r="Y68" s="305"/>
      <c r="Z68" s="305"/>
      <c r="AA68" s="305"/>
      <c r="AB68" s="305"/>
      <c r="AC68" s="556">
        <v>41856</v>
      </c>
      <c r="AD68" s="307"/>
      <c r="AE68" s="363">
        <f t="shared" ca="1" si="6"/>
        <v>42190</v>
      </c>
      <c r="AF68" s="299" t="s">
        <v>48</v>
      </c>
    </row>
    <row r="69" spans="1:33" s="541" customFormat="1" ht="26.25" thickBot="1" x14ac:dyDescent="0.25">
      <c r="A69" s="299" t="s">
        <v>1418</v>
      </c>
      <c r="B69" s="299"/>
      <c r="C69" s="299" t="s">
        <v>61</v>
      </c>
      <c r="D69" s="301" t="s">
        <v>1419</v>
      </c>
      <c r="E69" s="301" t="s">
        <v>1420</v>
      </c>
      <c r="F69" s="302">
        <v>1330.92</v>
      </c>
      <c r="G69" s="360">
        <v>0</v>
      </c>
      <c r="H69" s="360">
        <v>0</v>
      </c>
      <c r="I69" s="360">
        <v>0</v>
      </c>
      <c r="J69" s="360">
        <v>0</v>
      </c>
      <c r="K69" s="360">
        <v>0</v>
      </c>
      <c r="L69" s="360">
        <v>0</v>
      </c>
      <c r="M69" s="360">
        <v>0</v>
      </c>
      <c r="N69" s="360">
        <v>0</v>
      </c>
      <c r="O69" s="360">
        <v>0</v>
      </c>
      <c r="P69" s="360">
        <v>1448.18</v>
      </c>
      <c r="Q69" s="360">
        <v>0</v>
      </c>
      <c r="R69" s="360">
        <v>0</v>
      </c>
      <c r="S69" s="360">
        <f t="shared" si="7"/>
        <v>1448.18</v>
      </c>
      <c r="T69" s="361">
        <f t="shared" ca="1" si="8"/>
        <v>-2465</v>
      </c>
      <c r="U69" s="303">
        <v>41917</v>
      </c>
      <c r="V69" s="359" t="s">
        <v>1417</v>
      </c>
      <c r="W69" s="362"/>
      <c r="X69" s="305"/>
      <c r="Y69" s="305"/>
      <c r="Z69" s="305"/>
      <c r="AA69" s="305"/>
      <c r="AB69" s="305"/>
      <c r="AC69" s="556">
        <v>41856</v>
      </c>
      <c r="AD69" s="307"/>
      <c r="AE69" s="363">
        <f t="shared" ca="1" si="6"/>
        <v>42190</v>
      </c>
      <c r="AF69" s="299" t="s">
        <v>48</v>
      </c>
    </row>
    <row r="70" spans="1:33" s="541" customFormat="1" ht="77.25" thickBot="1" x14ac:dyDescent="0.25">
      <c r="A70" s="299" t="s">
        <v>1688</v>
      </c>
      <c r="B70" s="299"/>
      <c r="C70" s="299" t="s">
        <v>1432</v>
      </c>
      <c r="D70" s="301" t="s">
        <v>1433</v>
      </c>
      <c r="E70" s="301" t="s">
        <v>1624</v>
      </c>
      <c r="F70" s="562">
        <v>0</v>
      </c>
      <c r="G70" s="360">
        <v>0</v>
      </c>
      <c r="H70" s="360">
        <v>0</v>
      </c>
      <c r="I70" s="360">
        <v>0</v>
      </c>
      <c r="J70" s="360">
        <v>0</v>
      </c>
      <c r="K70" s="360">
        <v>0</v>
      </c>
      <c r="L70" s="360">
        <v>0</v>
      </c>
      <c r="M70" s="360">
        <v>0</v>
      </c>
      <c r="N70" s="360">
        <v>0</v>
      </c>
      <c r="O70" s="360">
        <v>0</v>
      </c>
      <c r="P70" s="360">
        <v>0</v>
      </c>
      <c r="Q70" s="360">
        <v>0</v>
      </c>
      <c r="R70" s="360">
        <v>0</v>
      </c>
      <c r="S70" s="360">
        <f t="shared" si="7"/>
        <v>0</v>
      </c>
      <c r="T70" s="361">
        <f t="shared" ca="1" si="8"/>
        <v>-2060</v>
      </c>
      <c r="U70" s="303">
        <v>42322</v>
      </c>
      <c r="V70" s="359" t="s">
        <v>1625</v>
      </c>
      <c r="W70" s="362"/>
      <c r="X70" s="305"/>
      <c r="Y70" s="305"/>
      <c r="Z70" s="305"/>
      <c r="AA70" s="305"/>
      <c r="AB70" s="305"/>
      <c r="AC70" s="306"/>
      <c r="AD70" s="307">
        <v>41592</v>
      </c>
      <c r="AE70" s="363">
        <f t="shared" ca="1" si="6"/>
        <v>599</v>
      </c>
      <c r="AF70" s="299" t="s">
        <v>96</v>
      </c>
    </row>
    <row r="71" spans="1:33" s="541" customFormat="1" ht="26.25" thickBot="1" x14ac:dyDescent="0.25">
      <c r="A71" s="299" t="s">
        <v>1436</v>
      </c>
      <c r="B71" s="299" t="s">
        <v>1428</v>
      </c>
      <c r="C71" s="299" t="s">
        <v>56</v>
      </c>
      <c r="D71" s="301" t="s">
        <v>973</v>
      </c>
      <c r="E71" s="301" t="s">
        <v>1438</v>
      </c>
      <c r="F71" s="302">
        <v>7100</v>
      </c>
      <c r="G71" s="360">
        <v>0</v>
      </c>
      <c r="H71" s="360">
        <v>0</v>
      </c>
      <c r="I71" s="360">
        <v>0</v>
      </c>
      <c r="J71" s="360">
        <v>0</v>
      </c>
      <c r="K71" s="360">
        <v>0</v>
      </c>
      <c r="L71" s="360">
        <v>0</v>
      </c>
      <c r="M71" s="360">
        <v>0</v>
      </c>
      <c r="N71" s="360">
        <v>0</v>
      </c>
      <c r="O71" s="360">
        <v>0</v>
      </c>
      <c r="P71" s="360">
        <v>0</v>
      </c>
      <c r="Q71" s="360">
        <v>0</v>
      </c>
      <c r="R71" s="360">
        <v>0</v>
      </c>
      <c r="S71" s="360">
        <f t="shared" si="7"/>
        <v>0</v>
      </c>
      <c r="T71" s="361">
        <f t="shared" ca="1" si="8"/>
        <v>-2470</v>
      </c>
      <c r="U71" s="303">
        <v>41912</v>
      </c>
      <c r="V71" s="359" t="s">
        <v>1439</v>
      </c>
      <c r="W71" s="362"/>
      <c r="X71" s="305"/>
      <c r="Y71" s="305"/>
      <c r="Z71" s="305"/>
      <c r="AA71" s="305"/>
      <c r="AB71" s="305"/>
      <c r="AC71" s="306">
        <v>41856</v>
      </c>
      <c r="AD71" s="307">
        <v>41600</v>
      </c>
      <c r="AE71" s="363">
        <f t="shared" ca="1" si="6"/>
        <v>591</v>
      </c>
      <c r="AF71" s="299" t="s">
        <v>649</v>
      </c>
    </row>
    <row r="72" spans="1:33" s="541" customFormat="1" ht="51.75" thickBot="1" x14ac:dyDescent="0.25">
      <c r="A72" s="299" t="s">
        <v>1440</v>
      </c>
      <c r="B72" s="299" t="s">
        <v>1428</v>
      </c>
      <c r="C72" s="299" t="s">
        <v>56</v>
      </c>
      <c r="D72" s="301" t="s">
        <v>618</v>
      </c>
      <c r="E72" s="301" t="s">
        <v>1537</v>
      </c>
      <c r="F72" s="302">
        <v>4858.2</v>
      </c>
      <c r="G72" s="360">
        <v>1924.43</v>
      </c>
      <c r="H72" s="360">
        <v>2592.4499999999998</v>
      </c>
      <c r="I72" s="360">
        <v>0</v>
      </c>
      <c r="J72" s="360">
        <v>0</v>
      </c>
      <c r="K72" s="360">
        <v>1814.32</v>
      </c>
      <c r="L72" s="360">
        <v>1919.37</v>
      </c>
      <c r="M72" s="360">
        <v>0</v>
      </c>
      <c r="N72" s="360">
        <v>0</v>
      </c>
      <c r="O72" s="360">
        <v>1797.89</v>
      </c>
      <c r="P72" s="360">
        <v>0</v>
      </c>
      <c r="Q72" s="360">
        <v>0</v>
      </c>
      <c r="R72" s="360">
        <v>0</v>
      </c>
      <c r="S72" s="360">
        <f t="shared" si="7"/>
        <v>10048.459999999999</v>
      </c>
      <c r="T72" s="361">
        <f t="shared" ca="1" si="8"/>
        <v>-2709</v>
      </c>
      <c r="U72" s="303">
        <v>41673</v>
      </c>
      <c r="V72" s="359" t="s">
        <v>1442</v>
      </c>
      <c r="W72" s="362"/>
      <c r="X72" s="305"/>
      <c r="Y72" s="305"/>
      <c r="Z72" s="305"/>
      <c r="AA72" s="305"/>
      <c r="AB72" s="305"/>
      <c r="AC72" s="306">
        <v>41621</v>
      </c>
      <c r="AD72" s="307">
        <v>41582</v>
      </c>
      <c r="AE72" s="363">
        <f t="shared" ca="1" si="6"/>
        <v>609</v>
      </c>
      <c r="AF72" s="299" t="s">
        <v>41</v>
      </c>
    </row>
    <row r="73" spans="1:33" s="541" customFormat="1" ht="39" thickBot="1" x14ac:dyDescent="0.25">
      <c r="A73" s="299" t="s">
        <v>1639</v>
      </c>
      <c r="B73" s="299" t="s">
        <v>1444</v>
      </c>
      <c r="C73" s="299" t="s">
        <v>37</v>
      </c>
      <c r="D73" s="301" t="s">
        <v>1445</v>
      </c>
      <c r="E73" s="301" t="s">
        <v>1446</v>
      </c>
      <c r="F73" s="302">
        <v>33179.4</v>
      </c>
      <c r="G73" s="360">
        <v>2600</v>
      </c>
      <c r="H73" s="360">
        <v>2600</v>
      </c>
      <c r="I73" s="360">
        <v>2600</v>
      </c>
      <c r="J73" s="360">
        <v>2600</v>
      </c>
      <c r="K73" s="360">
        <v>2600</v>
      </c>
      <c r="L73" s="360">
        <v>2600</v>
      </c>
      <c r="M73" s="360">
        <v>2600</v>
      </c>
      <c r="N73" s="360">
        <v>2600</v>
      </c>
      <c r="O73" s="360">
        <v>2600</v>
      </c>
      <c r="P73" s="360">
        <v>2600</v>
      </c>
      <c r="Q73" s="360">
        <v>2600</v>
      </c>
      <c r="R73" s="360">
        <v>2600</v>
      </c>
      <c r="S73" s="360">
        <f t="shared" si="7"/>
        <v>31200</v>
      </c>
      <c r="T73" s="361">
        <f t="shared" ca="1" si="8"/>
        <v>-2019</v>
      </c>
      <c r="U73" s="303">
        <v>42363</v>
      </c>
      <c r="V73" s="359" t="s">
        <v>1640</v>
      </c>
      <c r="W73" s="362"/>
      <c r="X73" s="305"/>
      <c r="Y73" s="305"/>
      <c r="Z73" s="305"/>
      <c r="AA73" s="305"/>
      <c r="AB73" s="305"/>
      <c r="AC73" s="306"/>
      <c r="AD73" s="307">
        <v>41610</v>
      </c>
      <c r="AE73" s="363">
        <f t="shared" ca="1" si="6"/>
        <v>581</v>
      </c>
      <c r="AF73" s="299" t="s">
        <v>96</v>
      </c>
    </row>
    <row r="74" spans="1:33" s="541" customFormat="1" ht="39" thickBot="1" x14ac:dyDescent="0.25">
      <c r="A74" s="299" t="s">
        <v>1457</v>
      </c>
      <c r="B74" s="299" t="s">
        <v>1458</v>
      </c>
      <c r="C74" s="299" t="s">
        <v>56</v>
      </c>
      <c r="D74" s="301" t="s">
        <v>303</v>
      </c>
      <c r="E74" s="301" t="s">
        <v>1459</v>
      </c>
      <c r="F74" s="302">
        <v>38616</v>
      </c>
      <c r="G74" s="360">
        <f>4015.25+1045.66+91.4</f>
        <v>5152.3099999999995</v>
      </c>
      <c r="H74" s="360">
        <f>1100.62+2955+45+92.16</f>
        <v>4192.78</v>
      </c>
      <c r="I74" s="360">
        <f>1100.62+2955+45+95.86</f>
        <v>4196.4799999999996</v>
      </c>
      <c r="J74" s="360">
        <f>1100.62+2955+45+89.65</f>
        <v>4190.2699999999995</v>
      </c>
      <c r="K74" s="360">
        <f>1100.62+2955+45+78.48</f>
        <v>4179.0999999999995</v>
      </c>
      <c r="L74" s="360">
        <f>1100.62+2955+45+158.6</f>
        <v>4259.22</v>
      </c>
      <c r="M74" s="360">
        <f>1100.62+3169.73+48.27+180.47</f>
        <v>4499.0900000000011</v>
      </c>
      <c r="N74" s="360">
        <f>1100.62+3169.73+48.27+175.42</f>
        <v>4494.0400000000009</v>
      </c>
      <c r="O74" s="360">
        <f>1100.62+3169.73+48.27+171.67</f>
        <v>4490.2900000000009</v>
      </c>
      <c r="P74" s="360">
        <f>1100.89+3169.73+48.27+165.35</f>
        <v>4484.2400000000007</v>
      </c>
      <c r="Q74" s="360">
        <f>3381.78+1100.77+51.5+167.35</f>
        <v>4701.4000000000005</v>
      </c>
      <c r="R74" s="360">
        <f>1100.03+3169.73+48.27+169.59</f>
        <v>4487.6200000000008</v>
      </c>
      <c r="S74" s="360">
        <f t="shared" si="7"/>
        <v>53326.840000000004</v>
      </c>
      <c r="T74" s="361">
        <f t="shared" ca="1" si="8"/>
        <v>-2202</v>
      </c>
      <c r="U74" s="303">
        <v>42180</v>
      </c>
      <c r="V74" s="359" t="s">
        <v>1610</v>
      </c>
      <c r="W74" s="362"/>
      <c r="X74" s="305"/>
      <c r="Y74" s="305"/>
      <c r="Z74" s="305"/>
      <c r="AA74" s="305"/>
      <c r="AB74" s="305"/>
      <c r="AC74" s="306"/>
      <c r="AD74" s="307">
        <v>41451</v>
      </c>
      <c r="AE74" s="363">
        <f t="shared" ca="1" si="6"/>
        <v>740</v>
      </c>
      <c r="AF74" s="299" t="s">
        <v>169</v>
      </c>
    </row>
    <row r="75" spans="1:33" s="541" customFormat="1" ht="26.25" thickBot="1" x14ac:dyDescent="0.25">
      <c r="A75" s="299" t="s">
        <v>1464</v>
      </c>
      <c r="B75" s="299" t="s">
        <v>1428</v>
      </c>
      <c r="C75" s="299" t="s">
        <v>56</v>
      </c>
      <c r="D75" s="301" t="s">
        <v>333</v>
      </c>
      <c r="E75" s="301" t="s">
        <v>1538</v>
      </c>
      <c r="F75" s="302">
        <v>4147.2</v>
      </c>
      <c r="G75" s="360">
        <v>0</v>
      </c>
      <c r="H75" s="360">
        <v>0</v>
      </c>
      <c r="I75" s="360">
        <v>0</v>
      </c>
      <c r="J75" s="360">
        <v>0</v>
      </c>
      <c r="K75" s="360">
        <v>0</v>
      </c>
      <c r="L75" s="360">
        <v>0</v>
      </c>
      <c r="M75" s="360">
        <v>0</v>
      </c>
      <c r="N75" s="360">
        <v>0</v>
      </c>
      <c r="O75" s="360">
        <v>0</v>
      </c>
      <c r="P75" s="360">
        <v>0</v>
      </c>
      <c r="Q75" s="360">
        <v>0</v>
      </c>
      <c r="R75" s="360">
        <v>0</v>
      </c>
      <c r="S75" s="360">
        <f t="shared" si="7"/>
        <v>0</v>
      </c>
      <c r="T75" s="361">
        <f t="shared" ca="1" si="8"/>
        <v>-2035</v>
      </c>
      <c r="U75" s="303">
        <v>42347</v>
      </c>
      <c r="V75" s="359" t="s">
        <v>1467</v>
      </c>
      <c r="W75" s="362"/>
      <c r="X75" s="305"/>
      <c r="Y75" s="305"/>
      <c r="Z75" s="305"/>
      <c r="AA75" s="305"/>
      <c r="AB75" s="305"/>
      <c r="AC75" s="306"/>
      <c r="AD75" s="307">
        <v>41618</v>
      </c>
      <c r="AE75" s="363">
        <f t="shared" ca="1" si="6"/>
        <v>573</v>
      </c>
      <c r="AF75" s="299" t="s">
        <v>1468</v>
      </c>
    </row>
    <row r="76" spans="1:33" s="541" customFormat="1" ht="39" thickBot="1" x14ac:dyDescent="0.25">
      <c r="A76" s="299" t="s">
        <v>1687</v>
      </c>
      <c r="B76" s="299" t="s">
        <v>1428</v>
      </c>
      <c r="C76" s="299" t="s">
        <v>56</v>
      </c>
      <c r="D76" s="301" t="s">
        <v>1469</v>
      </c>
      <c r="E76" s="301" t="s">
        <v>1470</v>
      </c>
      <c r="F76" s="302">
        <v>11550</v>
      </c>
      <c r="G76" s="360">
        <v>0</v>
      </c>
      <c r="H76" s="360">
        <v>11500</v>
      </c>
      <c r="I76" s="360">
        <v>0</v>
      </c>
      <c r="J76" s="360">
        <v>0</v>
      </c>
      <c r="K76" s="360">
        <v>0</v>
      </c>
      <c r="L76" s="360">
        <v>0</v>
      </c>
      <c r="M76" s="360">
        <v>0</v>
      </c>
      <c r="N76" s="360">
        <v>0</v>
      </c>
      <c r="O76" s="360">
        <v>0</v>
      </c>
      <c r="P76" s="360">
        <v>0</v>
      </c>
      <c r="Q76" s="360">
        <v>0</v>
      </c>
      <c r="R76" s="360">
        <v>0</v>
      </c>
      <c r="S76" s="360">
        <f t="shared" si="7"/>
        <v>11500</v>
      </c>
      <c r="T76" s="361">
        <f t="shared" ca="1" si="8"/>
        <v>-2692</v>
      </c>
      <c r="U76" s="303">
        <v>41690</v>
      </c>
      <c r="V76" s="359" t="s">
        <v>1471</v>
      </c>
      <c r="W76" s="362"/>
      <c r="X76" s="305"/>
      <c r="Y76" s="305"/>
      <c r="Z76" s="305"/>
      <c r="AA76" s="305"/>
      <c r="AB76" s="305"/>
      <c r="AC76" s="306"/>
      <c r="AD76" s="307">
        <v>41660</v>
      </c>
      <c r="AE76" s="363">
        <f t="shared" ca="1" si="6"/>
        <v>531</v>
      </c>
      <c r="AF76" s="299" t="s">
        <v>1454</v>
      </c>
    </row>
    <row r="77" spans="1:33" s="541" customFormat="1" ht="39" thickBot="1" x14ac:dyDescent="0.25">
      <c r="A77" s="399" t="s">
        <v>1686</v>
      </c>
      <c r="B77" s="299" t="s">
        <v>1428</v>
      </c>
      <c r="C77" s="299" t="s">
        <v>56</v>
      </c>
      <c r="D77" s="301" t="s">
        <v>1482</v>
      </c>
      <c r="E77" s="301" t="s">
        <v>1480</v>
      </c>
      <c r="F77" s="302">
        <v>12700</v>
      </c>
      <c r="G77" s="360">
        <v>0</v>
      </c>
      <c r="H77" s="360">
        <v>0</v>
      </c>
      <c r="I77" s="360">
        <v>12700</v>
      </c>
      <c r="J77" s="360">
        <v>0</v>
      </c>
      <c r="K77" s="360">
        <v>0</v>
      </c>
      <c r="L77" s="360">
        <v>0</v>
      </c>
      <c r="M77" s="360">
        <v>0</v>
      </c>
      <c r="N77" s="360">
        <v>0</v>
      </c>
      <c r="O77" s="360">
        <v>0</v>
      </c>
      <c r="P77" s="360">
        <v>0</v>
      </c>
      <c r="Q77" s="360">
        <v>0</v>
      </c>
      <c r="R77" s="360">
        <v>0</v>
      </c>
      <c r="S77" s="360">
        <f t="shared" si="7"/>
        <v>12700</v>
      </c>
      <c r="T77" s="361">
        <f t="shared" ca="1" si="8"/>
        <v>-2685</v>
      </c>
      <c r="U77" s="303">
        <v>41697</v>
      </c>
      <c r="V77" s="359" t="s">
        <v>1481</v>
      </c>
      <c r="W77" s="362"/>
      <c r="X77" s="305"/>
      <c r="Y77" s="305"/>
      <c r="Z77" s="305"/>
      <c r="AA77" s="305"/>
      <c r="AB77" s="305"/>
      <c r="AC77" s="306"/>
      <c r="AD77" s="307">
        <v>41667</v>
      </c>
      <c r="AE77" s="363">
        <f t="shared" ca="1" si="6"/>
        <v>524</v>
      </c>
      <c r="AF77" s="299" t="s">
        <v>169</v>
      </c>
    </row>
    <row r="78" spans="1:33" s="587" customFormat="1" ht="39" thickBot="1" x14ac:dyDescent="0.25">
      <c r="A78" s="567" t="s">
        <v>1682</v>
      </c>
      <c r="B78" s="567" t="s">
        <v>1428</v>
      </c>
      <c r="C78" s="567" t="s">
        <v>56</v>
      </c>
      <c r="D78" s="576" t="s">
        <v>1484</v>
      </c>
      <c r="E78" s="576" t="s">
        <v>1485</v>
      </c>
      <c r="F78" s="577">
        <v>15850</v>
      </c>
      <c r="G78" s="360">
        <v>0</v>
      </c>
      <c r="H78" s="360">
        <f>5020+10830</f>
        <v>15850</v>
      </c>
      <c r="I78" s="360">
        <v>0</v>
      </c>
      <c r="J78" s="360">
        <v>0</v>
      </c>
      <c r="K78" s="360">
        <v>0</v>
      </c>
      <c r="L78" s="360">
        <v>0</v>
      </c>
      <c r="M78" s="360">
        <v>0</v>
      </c>
      <c r="N78" s="360">
        <v>0</v>
      </c>
      <c r="O78" s="360">
        <v>0</v>
      </c>
      <c r="P78" s="360">
        <v>0</v>
      </c>
      <c r="Q78" s="360">
        <v>0</v>
      </c>
      <c r="R78" s="360">
        <v>0</v>
      </c>
      <c r="S78" s="578">
        <f t="shared" si="7"/>
        <v>15850</v>
      </c>
      <c r="T78" s="579">
        <f t="shared" ca="1" si="8"/>
        <v>-2672</v>
      </c>
      <c r="U78" s="580">
        <v>41710</v>
      </c>
      <c r="V78" s="581" t="s">
        <v>1486</v>
      </c>
      <c r="W78" s="582"/>
      <c r="X78" s="583"/>
      <c r="Y78" s="583"/>
      <c r="Z78" s="583"/>
      <c r="AA78" s="583"/>
      <c r="AB78" s="583"/>
      <c r="AC78" s="584"/>
      <c r="AD78" s="585">
        <v>41680</v>
      </c>
      <c r="AE78" s="586">
        <f t="shared" ca="1" si="6"/>
        <v>511</v>
      </c>
      <c r="AF78" s="567" t="s">
        <v>41</v>
      </c>
      <c r="AG78" s="587" t="s">
        <v>1519</v>
      </c>
    </row>
    <row r="79" spans="1:33" s="587" customFormat="1" ht="39" thickBot="1" x14ac:dyDescent="0.25">
      <c r="A79" s="567" t="s">
        <v>1683</v>
      </c>
      <c r="B79" s="567" t="s">
        <v>1428</v>
      </c>
      <c r="C79" s="567" t="s">
        <v>56</v>
      </c>
      <c r="D79" s="576" t="s">
        <v>1487</v>
      </c>
      <c r="E79" s="576" t="s">
        <v>1488</v>
      </c>
      <c r="F79" s="577">
        <v>15970</v>
      </c>
      <c r="G79" s="360">
        <v>0</v>
      </c>
      <c r="H79" s="360">
        <v>0</v>
      </c>
      <c r="I79" s="360">
        <v>15970</v>
      </c>
      <c r="J79" s="360">
        <v>0</v>
      </c>
      <c r="K79" s="360">
        <v>0</v>
      </c>
      <c r="L79" s="360">
        <v>0</v>
      </c>
      <c r="M79" s="360">
        <v>0</v>
      </c>
      <c r="N79" s="360">
        <v>0</v>
      </c>
      <c r="O79" s="360">
        <v>0</v>
      </c>
      <c r="P79" s="360">
        <v>0</v>
      </c>
      <c r="Q79" s="360">
        <v>0</v>
      </c>
      <c r="R79" s="360">
        <v>0</v>
      </c>
      <c r="S79" s="578">
        <f t="shared" si="7"/>
        <v>15970</v>
      </c>
      <c r="T79" s="579">
        <f t="shared" ca="1" si="8"/>
        <v>-2662</v>
      </c>
      <c r="U79" s="580">
        <v>41720</v>
      </c>
      <c r="V79" s="581" t="s">
        <v>1489</v>
      </c>
      <c r="W79" s="582"/>
      <c r="X79" s="583"/>
      <c r="Y79" s="583"/>
      <c r="Z79" s="583"/>
      <c r="AA79" s="583"/>
      <c r="AB79" s="583"/>
      <c r="AC79" s="584"/>
      <c r="AD79" s="585">
        <v>41690</v>
      </c>
      <c r="AE79" s="586">
        <f t="shared" ca="1" si="6"/>
        <v>501</v>
      </c>
      <c r="AF79" s="567" t="s">
        <v>48</v>
      </c>
      <c r="AG79" s="587" t="s">
        <v>1519</v>
      </c>
    </row>
    <row r="80" spans="1:33" s="587" customFormat="1" ht="26.25" thickBot="1" x14ac:dyDescent="0.25">
      <c r="A80" s="567" t="s">
        <v>1684</v>
      </c>
      <c r="B80" s="567" t="s">
        <v>1428</v>
      </c>
      <c r="C80" s="567" t="s">
        <v>56</v>
      </c>
      <c r="D80" s="576" t="s">
        <v>1490</v>
      </c>
      <c r="E80" s="576" t="s">
        <v>1511</v>
      </c>
      <c r="F80" s="577">
        <v>13000</v>
      </c>
      <c r="G80" s="360">
        <v>0</v>
      </c>
      <c r="H80" s="360">
        <v>13000</v>
      </c>
      <c r="I80" s="360">
        <v>0</v>
      </c>
      <c r="J80" s="360">
        <v>0</v>
      </c>
      <c r="K80" s="360">
        <v>0</v>
      </c>
      <c r="L80" s="360">
        <v>0</v>
      </c>
      <c r="M80" s="360">
        <v>0</v>
      </c>
      <c r="N80" s="360">
        <v>0</v>
      </c>
      <c r="O80" s="360">
        <v>0</v>
      </c>
      <c r="P80" s="360">
        <v>0</v>
      </c>
      <c r="Q80" s="360">
        <v>0</v>
      </c>
      <c r="R80" s="360">
        <v>0</v>
      </c>
      <c r="S80" s="578">
        <f t="shared" si="7"/>
        <v>13000</v>
      </c>
      <c r="T80" s="579">
        <f t="shared" ca="1" si="8"/>
        <v>-2664</v>
      </c>
      <c r="U80" s="580">
        <v>41718</v>
      </c>
      <c r="V80" s="581" t="s">
        <v>1491</v>
      </c>
      <c r="W80" s="582"/>
      <c r="X80" s="583"/>
      <c r="Y80" s="583"/>
      <c r="Z80" s="583"/>
      <c r="AA80" s="583"/>
      <c r="AB80" s="583"/>
      <c r="AC80" s="584"/>
      <c r="AD80" s="585">
        <v>41688</v>
      </c>
      <c r="AE80" s="586">
        <f t="shared" ca="1" si="6"/>
        <v>503</v>
      </c>
      <c r="AF80" s="567" t="s">
        <v>909</v>
      </c>
      <c r="AG80" s="587" t="s">
        <v>1519</v>
      </c>
    </row>
    <row r="81" spans="1:33" s="587" customFormat="1" ht="26.25" thickBot="1" x14ac:dyDescent="0.25">
      <c r="A81" s="567" t="s">
        <v>1677</v>
      </c>
      <c r="B81" s="567" t="s">
        <v>1428</v>
      </c>
      <c r="C81" s="567" t="s">
        <v>56</v>
      </c>
      <c r="D81" s="576" t="s">
        <v>1507</v>
      </c>
      <c r="E81" s="576" t="s">
        <v>1508</v>
      </c>
      <c r="F81" s="577">
        <v>8930</v>
      </c>
      <c r="G81" s="360">
        <v>0</v>
      </c>
      <c r="H81" s="360">
        <v>0</v>
      </c>
      <c r="I81" s="360">
        <v>8930</v>
      </c>
      <c r="J81" s="360">
        <v>0</v>
      </c>
      <c r="K81" s="360">
        <v>0</v>
      </c>
      <c r="L81" s="360">
        <v>0</v>
      </c>
      <c r="M81" s="360">
        <v>0</v>
      </c>
      <c r="N81" s="360">
        <v>0</v>
      </c>
      <c r="O81" s="360">
        <v>0</v>
      </c>
      <c r="P81" s="360">
        <v>0</v>
      </c>
      <c r="Q81" s="360">
        <v>0</v>
      </c>
      <c r="R81" s="360">
        <v>0</v>
      </c>
      <c r="S81" s="578">
        <f t="shared" si="7"/>
        <v>8930</v>
      </c>
      <c r="T81" s="579">
        <f t="shared" ca="1" si="8"/>
        <v>-2657</v>
      </c>
      <c r="U81" s="580">
        <v>41725</v>
      </c>
      <c r="V81" s="581" t="s">
        <v>1509</v>
      </c>
      <c r="W81" s="582"/>
      <c r="X81" s="583"/>
      <c r="Y81" s="583"/>
      <c r="Z81" s="583"/>
      <c r="AA81" s="583"/>
      <c r="AB81" s="583"/>
      <c r="AC81" s="584"/>
      <c r="AD81" s="585">
        <v>41710</v>
      </c>
      <c r="AE81" s="586">
        <f t="shared" ca="1" si="6"/>
        <v>480</v>
      </c>
      <c r="AF81" s="567" t="s">
        <v>48</v>
      </c>
      <c r="AG81" s="587" t="s">
        <v>1519</v>
      </c>
    </row>
    <row r="82" spans="1:33" s="587" customFormat="1" ht="26.25" thickBot="1" x14ac:dyDescent="0.25">
      <c r="A82" s="567" t="s">
        <v>1679</v>
      </c>
      <c r="B82" s="567" t="s">
        <v>1428</v>
      </c>
      <c r="C82" s="567" t="s">
        <v>56</v>
      </c>
      <c r="D82" s="576" t="s">
        <v>1510</v>
      </c>
      <c r="E82" s="576" t="s">
        <v>1512</v>
      </c>
      <c r="F82" s="577">
        <v>14940</v>
      </c>
      <c r="G82" s="360">
        <v>0</v>
      </c>
      <c r="H82" s="360">
        <v>0</v>
      </c>
      <c r="I82" s="360">
        <v>7470</v>
      </c>
      <c r="J82" s="360">
        <v>7470</v>
      </c>
      <c r="K82" s="360">
        <v>0</v>
      </c>
      <c r="L82" s="360">
        <v>0</v>
      </c>
      <c r="M82" s="360">
        <v>0</v>
      </c>
      <c r="N82" s="360">
        <v>0</v>
      </c>
      <c r="O82" s="360">
        <v>0</v>
      </c>
      <c r="P82" s="360">
        <v>0</v>
      </c>
      <c r="Q82" s="360">
        <v>0</v>
      </c>
      <c r="R82" s="360">
        <v>0</v>
      </c>
      <c r="S82" s="578">
        <f t="shared" si="7"/>
        <v>14940</v>
      </c>
      <c r="T82" s="579">
        <f t="shared" ca="1" si="8"/>
        <v>-2641</v>
      </c>
      <c r="U82" s="580">
        <v>41741</v>
      </c>
      <c r="V82" s="581" t="s">
        <v>1513</v>
      </c>
      <c r="W82" s="582"/>
      <c r="X82" s="583"/>
      <c r="Y82" s="583"/>
      <c r="Z82" s="583"/>
      <c r="AA82" s="583"/>
      <c r="AB82" s="583"/>
      <c r="AC82" s="584"/>
      <c r="AD82" s="585">
        <v>41711</v>
      </c>
      <c r="AE82" s="586">
        <f t="shared" ca="1" si="6"/>
        <v>479</v>
      </c>
      <c r="AF82" s="567"/>
      <c r="AG82" s="587" t="s">
        <v>1519</v>
      </c>
    </row>
    <row r="83" spans="1:33" s="541" customFormat="1" ht="51.75" thickBot="1" x14ac:dyDescent="0.25">
      <c r="A83" s="299" t="s">
        <v>1678</v>
      </c>
      <c r="B83" s="299" t="s">
        <v>1428</v>
      </c>
      <c r="C83" s="299" t="s">
        <v>56</v>
      </c>
      <c r="D83" s="301" t="s">
        <v>212</v>
      </c>
      <c r="E83" s="301" t="s">
        <v>1514</v>
      </c>
      <c r="F83" s="302">
        <v>7920</v>
      </c>
      <c r="G83" s="360">
        <v>0</v>
      </c>
      <c r="H83" s="360">
        <v>0</v>
      </c>
      <c r="I83" s="360">
        <v>0</v>
      </c>
      <c r="J83" s="360">
        <v>0</v>
      </c>
      <c r="K83" s="360">
        <v>0</v>
      </c>
      <c r="L83" s="360">
        <v>0</v>
      </c>
      <c r="M83" s="360">
        <v>0</v>
      </c>
      <c r="N83" s="360">
        <v>660</v>
      </c>
      <c r="O83" s="360">
        <v>660</v>
      </c>
      <c r="P83" s="360">
        <v>660</v>
      </c>
      <c r="Q83" s="360">
        <v>660</v>
      </c>
      <c r="R83" s="360">
        <v>660</v>
      </c>
      <c r="S83" s="360">
        <f t="shared" si="7"/>
        <v>3300</v>
      </c>
      <c r="T83" s="361">
        <f t="shared" ca="1" si="8"/>
        <v>-2289</v>
      </c>
      <c r="U83" s="303">
        <v>42093</v>
      </c>
      <c r="V83" s="359" t="s">
        <v>1515</v>
      </c>
      <c r="W83" s="362"/>
      <c r="X83" s="305"/>
      <c r="Y83" s="305"/>
      <c r="Z83" s="305"/>
      <c r="AA83" s="305"/>
      <c r="AB83" s="305"/>
      <c r="AC83" s="306">
        <v>42030</v>
      </c>
      <c r="AD83" s="307">
        <v>41729</v>
      </c>
      <c r="AE83" s="363">
        <f t="shared" ca="1" si="6"/>
        <v>461</v>
      </c>
      <c r="AF83" s="299" t="s">
        <v>48</v>
      </c>
    </row>
    <row r="84" spans="1:33" s="541" customFormat="1" ht="39" thickBot="1" x14ac:dyDescent="0.25">
      <c r="A84" s="299" t="s">
        <v>1680</v>
      </c>
      <c r="B84" s="299"/>
      <c r="C84" s="299" t="s">
        <v>1681</v>
      </c>
      <c r="D84" s="301" t="s">
        <v>1539</v>
      </c>
      <c r="E84" s="301" t="s">
        <v>1516</v>
      </c>
      <c r="F84" s="302">
        <v>121050</v>
      </c>
      <c r="G84" s="360">
        <v>0</v>
      </c>
      <c r="H84" s="360">
        <v>0</v>
      </c>
      <c r="I84" s="360">
        <v>0</v>
      </c>
      <c r="J84" s="360">
        <v>0</v>
      </c>
      <c r="K84" s="360">
        <f>2158.64+987.34</f>
        <v>3145.98</v>
      </c>
      <c r="L84" s="360">
        <f>1541.19+1139.52+1118.19+1121.95+414.86</f>
        <v>5335.71</v>
      </c>
      <c r="M84" s="360">
        <f>5637.44</f>
        <v>5637.44</v>
      </c>
      <c r="N84" s="360">
        <f>9411.83+106.52</f>
        <v>9518.35</v>
      </c>
      <c r="O84" s="360">
        <f>1742.71+642.44+1334.55+1595.92+741.87+420.67+741.87+415.44+2741.59</f>
        <v>10377.06</v>
      </c>
      <c r="P84" s="360">
        <f>387.81+12.69+1346.54+42.77+1562.28+48.52+1329.33+43.47+1986.22+62.42</f>
        <v>6822.0500000000011</v>
      </c>
      <c r="Q84" s="360">
        <f>1797.75+4555.84+1414.44+1253.23+444.84+3509.74</f>
        <v>12975.84</v>
      </c>
      <c r="R84" s="360">
        <f>4105.38+775.84+5531.21+600.4+2492.61+329.11</f>
        <v>13834.550000000001</v>
      </c>
      <c r="S84" s="360">
        <f t="shared" si="7"/>
        <v>67646.98000000001</v>
      </c>
      <c r="T84" s="361">
        <f t="shared" ca="1" si="8"/>
        <v>-2292</v>
      </c>
      <c r="U84" s="303">
        <v>42090</v>
      </c>
      <c r="V84" s="359" t="s">
        <v>1517</v>
      </c>
      <c r="W84" s="362"/>
      <c r="X84" s="305"/>
      <c r="Y84" s="305"/>
      <c r="Z84" s="305"/>
      <c r="AA84" s="305"/>
      <c r="AB84" s="305"/>
      <c r="AC84" s="306">
        <v>42030</v>
      </c>
      <c r="AD84" s="307">
        <v>41726</v>
      </c>
      <c r="AE84" s="363">
        <f t="shared" ca="1" si="6"/>
        <v>464</v>
      </c>
      <c r="AF84" s="299" t="s">
        <v>48</v>
      </c>
    </row>
    <row r="85" spans="1:33" s="541" customFormat="1" ht="39" thickBot="1" x14ac:dyDescent="0.25">
      <c r="A85" s="300" t="s">
        <v>1546</v>
      </c>
      <c r="B85" s="299" t="s">
        <v>1522</v>
      </c>
      <c r="C85" s="299"/>
      <c r="D85" s="301" t="s">
        <v>1523</v>
      </c>
      <c r="E85" s="301" t="s">
        <v>1524</v>
      </c>
      <c r="F85" s="302" t="s">
        <v>314</v>
      </c>
      <c r="G85" s="360">
        <v>0</v>
      </c>
      <c r="H85" s="360">
        <v>0</v>
      </c>
      <c r="I85" s="360">
        <v>0</v>
      </c>
      <c r="J85" s="360">
        <v>0</v>
      </c>
      <c r="K85" s="360">
        <v>0</v>
      </c>
      <c r="L85" s="360">
        <v>0</v>
      </c>
      <c r="M85" s="360">
        <v>0</v>
      </c>
      <c r="N85" s="360">
        <v>0</v>
      </c>
      <c r="O85" s="360">
        <v>0</v>
      </c>
      <c r="P85" s="360">
        <v>0</v>
      </c>
      <c r="Q85" s="360">
        <v>0</v>
      </c>
      <c r="R85" s="360">
        <v>0</v>
      </c>
      <c r="S85" s="360">
        <f t="shared" si="7"/>
        <v>0</v>
      </c>
      <c r="T85" s="361">
        <f t="shared" ca="1" si="8"/>
        <v>-2275</v>
      </c>
      <c r="U85" s="303">
        <v>42107</v>
      </c>
      <c r="V85" s="359" t="s">
        <v>1525</v>
      </c>
      <c r="W85" s="362"/>
      <c r="X85" s="305"/>
      <c r="Y85" s="305"/>
      <c r="Z85" s="305"/>
      <c r="AA85" s="305"/>
      <c r="AB85" s="305"/>
      <c r="AC85" s="306">
        <v>42044</v>
      </c>
      <c r="AD85" s="307">
        <v>41743</v>
      </c>
      <c r="AE85" s="363">
        <f t="shared" ca="1" si="6"/>
        <v>447</v>
      </c>
      <c r="AF85" s="299" t="s">
        <v>649</v>
      </c>
    </row>
    <row r="86" spans="1:33" s="541" customFormat="1" ht="39" thickBot="1" x14ac:dyDescent="0.25">
      <c r="A86" s="300" t="s">
        <v>1527</v>
      </c>
      <c r="B86" s="567" t="s">
        <v>1428</v>
      </c>
      <c r="C86" s="567" t="s">
        <v>56</v>
      </c>
      <c r="D86" s="301" t="s">
        <v>1528</v>
      </c>
      <c r="E86" s="301" t="s">
        <v>1529</v>
      </c>
      <c r="F86" s="302">
        <v>14560</v>
      </c>
      <c r="G86" s="360">
        <v>0</v>
      </c>
      <c r="H86" s="360">
        <v>0</v>
      </c>
      <c r="I86" s="360">
        <v>0</v>
      </c>
      <c r="J86" s="360">
        <v>0</v>
      </c>
      <c r="K86" s="360">
        <v>0</v>
      </c>
      <c r="L86" s="360">
        <v>0</v>
      </c>
      <c r="M86" s="360">
        <v>0</v>
      </c>
      <c r="N86" s="360">
        <f>5824.12+5824.12</f>
        <v>11648.24</v>
      </c>
      <c r="O86" s="360">
        <v>2100</v>
      </c>
      <c r="P86" s="360">
        <v>0</v>
      </c>
      <c r="Q86" s="360">
        <v>0</v>
      </c>
      <c r="R86" s="360">
        <v>0</v>
      </c>
      <c r="S86" s="360">
        <f t="shared" si="7"/>
        <v>13748.24</v>
      </c>
      <c r="T86" s="361">
        <f t="shared" ca="1" si="8"/>
        <v>-2517</v>
      </c>
      <c r="U86" s="303">
        <v>41865</v>
      </c>
      <c r="V86" s="359" t="s">
        <v>1540</v>
      </c>
      <c r="W86" s="362"/>
      <c r="X86" s="305"/>
      <c r="Y86" s="305"/>
      <c r="Z86" s="305"/>
      <c r="AA86" s="305"/>
      <c r="AB86" s="305"/>
      <c r="AC86" s="306">
        <v>41820</v>
      </c>
      <c r="AD86" s="307">
        <v>41774</v>
      </c>
      <c r="AE86" s="363">
        <f t="shared" ca="1" si="6"/>
        <v>416</v>
      </c>
      <c r="AF86" s="299" t="s">
        <v>96</v>
      </c>
    </row>
    <row r="87" spans="1:33" s="541" customFormat="1" ht="39" thickBot="1" x14ac:dyDescent="0.25">
      <c r="A87" s="300" t="s">
        <v>1541</v>
      </c>
      <c r="B87" s="567" t="s">
        <v>1428</v>
      </c>
      <c r="C87" s="567" t="s">
        <v>56</v>
      </c>
      <c r="D87" s="301" t="s">
        <v>1542</v>
      </c>
      <c r="E87" s="301" t="s">
        <v>1543</v>
      </c>
      <c r="F87" s="302">
        <v>7125</v>
      </c>
      <c r="G87" s="360">
        <v>0</v>
      </c>
      <c r="H87" s="360">
        <v>0</v>
      </c>
      <c r="I87" s="360">
        <v>0</v>
      </c>
      <c r="J87" s="360">
        <v>0</v>
      </c>
      <c r="K87" s="360">
        <v>5177.5</v>
      </c>
      <c r="L87" s="360">
        <v>0</v>
      </c>
      <c r="M87" s="360">
        <v>0</v>
      </c>
      <c r="N87" s="360">
        <v>0</v>
      </c>
      <c r="O87" s="360">
        <v>0</v>
      </c>
      <c r="P87" s="360">
        <v>0</v>
      </c>
      <c r="Q87" s="360">
        <v>0</v>
      </c>
      <c r="R87" s="360">
        <v>0</v>
      </c>
      <c r="S87" s="360">
        <f t="shared" si="7"/>
        <v>5177.5</v>
      </c>
      <c r="T87" s="361">
        <f t="shared" ca="1" si="8"/>
        <v>-2604</v>
      </c>
      <c r="U87" s="303">
        <v>41778</v>
      </c>
      <c r="V87" s="359" t="s">
        <v>1544</v>
      </c>
      <c r="W87" s="362"/>
      <c r="X87" s="305"/>
      <c r="Y87" s="305"/>
      <c r="Z87" s="305"/>
      <c r="AA87" s="305"/>
      <c r="AB87" s="305"/>
      <c r="AC87" s="306"/>
      <c r="AD87" s="307">
        <v>41764</v>
      </c>
      <c r="AE87" s="363">
        <f t="shared" ca="1" si="6"/>
        <v>426</v>
      </c>
      <c r="AF87" s="299" t="s">
        <v>96</v>
      </c>
    </row>
    <row r="88" spans="1:33" s="541" customFormat="1" ht="39" thickBot="1" x14ac:dyDescent="0.25">
      <c r="A88" s="300" t="s">
        <v>1545</v>
      </c>
      <c r="B88" s="567" t="s">
        <v>1428</v>
      </c>
      <c r="C88" s="567" t="s">
        <v>56</v>
      </c>
      <c r="D88" s="301" t="s">
        <v>1547</v>
      </c>
      <c r="E88" s="301" t="s">
        <v>1548</v>
      </c>
      <c r="F88" s="302">
        <v>7500</v>
      </c>
      <c r="G88" s="360">
        <v>0</v>
      </c>
      <c r="H88" s="360">
        <v>0</v>
      </c>
      <c r="I88" s="360">
        <v>0</v>
      </c>
      <c r="J88" s="360">
        <v>0</v>
      </c>
      <c r="K88" s="360">
        <v>0</v>
      </c>
      <c r="L88" s="360">
        <v>7500</v>
      </c>
      <c r="M88" s="360">
        <v>0</v>
      </c>
      <c r="N88" s="360">
        <v>0</v>
      </c>
      <c r="O88" s="360">
        <v>0</v>
      </c>
      <c r="P88" s="360">
        <v>0</v>
      </c>
      <c r="Q88" s="360">
        <v>0</v>
      </c>
      <c r="R88" s="360">
        <v>0</v>
      </c>
      <c r="S88" s="360">
        <f t="shared" si="7"/>
        <v>7500</v>
      </c>
      <c r="T88" s="361">
        <f t="shared" ca="1" si="8"/>
        <v>-2628</v>
      </c>
      <c r="U88" s="303">
        <v>41754</v>
      </c>
      <c r="V88" s="359" t="s">
        <v>1549</v>
      </c>
      <c r="W88" s="362"/>
      <c r="X88" s="305"/>
      <c r="Y88" s="305"/>
      <c r="Z88" s="305"/>
      <c r="AA88" s="305"/>
      <c r="AB88" s="305"/>
      <c r="AC88" s="306"/>
      <c r="AD88" s="307">
        <v>41740</v>
      </c>
      <c r="AE88" s="363">
        <f t="shared" ca="1" si="6"/>
        <v>450</v>
      </c>
      <c r="AF88" s="299"/>
    </row>
    <row r="89" spans="1:33" s="541" customFormat="1" ht="26.25" thickBot="1" x14ac:dyDescent="0.25">
      <c r="A89" s="300" t="s">
        <v>1550</v>
      </c>
      <c r="B89" s="567" t="s">
        <v>1428</v>
      </c>
      <c r="C89" s="567" t="s">
        <v>56</v>
      </c>
      <c r="D89" s="301" t="s">
        <v>1547</v>
      </c>
      <c r="E89" s="301" t="s">
        <v>1568</v>
      </c>
      <c r="F89" s="302">
        <v>15180</v>
      </c>
      <c r="G89" s="360">
        <v>0</v>
      </c>
      <c r="H89" s="360">
        <v>0</v>
      </c>
      <c r="I89" s="360">
        <v>0</v>
      </c>
      <c r="J89" s="360">
        <v>0</v>
      </c>
      <c r="K89" s="360">
        <v>0</v>
      </c>
      <c r="L89" s="360">
        <v>15180</v>
      </c>
      <c r="M89" s="360">
        <v>0</v>
      </c>
      <c r="N89" s="360">
        <v>0</v>
      </c>
      <c r="O89" s="360">
        <v>0</v>
      </c>
      <c r="P89" s="360">
        <v>0</v>
      </c>
      <c r="Q89" s="360">
        <v>0</v>
      </c>
      <c r="R89" s="360">
        <v>0</v>
      </c>
      <c r="S89" s="360">
        <f t="shared" si="7"/>
        <v>15180</v>
      </c>
      <c r="T89" s="361">
        <f t="shared" ca="1" si="8"/>
        <v>-2558</v>
      </c>
      <c r="U89" s="303">
        <v>41824</v>
      </c>
      <c r="V89" s="359" t="s">
        <v>1551</v>
      </c>
      <c r="W89" s="362"/>
      <c r="X89" s="305"/>
      <c r="Y89" s="305"/>
      <c r="Z89" s="305"/>
      <c r="AA89" s="305"/>
      <c r="AB89" s="305"/>
      <c r="AC89" s="306"/>
      <c r="AD89" s="307">
        <v>41795</v>
      </c>
      <c r="AE89" s="363">
        <f t="shared" ca="1" si="6"/>
        <v>395</v>
      </c>
      <c r="AF89" s="299"/>
    </row>
    <row r="90" spans="1:33" s="541" customFormat="1" ht="51.75" thickBot="1" x14ac:dyDescent="0.25">
      <c r="A90" s="300" t="s">
        <v>1552</v>
      </c>
      <c r="B90" s="567" t="s">
        <v>1428</v>
      </c>
      <c r="C90" s="567" t="s">
        <v>56</v>
      </c>
      <c r="D90" s="301" t="s">
        <v>62</v>
      </c>
      <c r="E90" s="301" t="s">
        <v>1553</v>
      </c>
      <c r="F90" s="302">
        <v>8520</v>
      </c>
      <c r="G90" s="360">
        <v>0</v>
      </c>
      <c r="H90" s="360">
        <v>0</v>
      </c>
      <c r="I90" s="360">
        <v>0</v>
      </c>
      <c r="J90" s="360">
        <v>0</v>
      </c>
      <c r="K90" s="360">
        <v>0</v>
      </c>
      <c r="L90" s="360">
        <v>0</v>
      </c>
      <c r="M90" s="360">
        <v>710</v>
      </c>
      <c r="N90" s="360">
        <v>710</v>
      </c>
      <c r="O90" s="360">
        <v>710</v>
      </c>
      <c r="P90" s="360">
        <v>710</v>
      </c>
      <c r="Q90" s="360">
        <v>710</v>
      </c>
      <c r="R90" s="360">
        <v>710</v>
      </c>
      <c r="S90" s="360">
        <f t="shared" si="7"/>
        <v>4260</v>
      </c>
      <c r="T90" s="361">
        <f t="shared" ca="1" si="8"/>
        <v>-2207</v>
      </c>
      <c r="U90" s="303">
        <v>42175</v>
      </c>
      <c r="V90" s="359" t="s">
        <v>1554</v>
      </c>
      <c r="W90" s="362"/>
      <c r="X90" s="305"/>
      <c r="Y90" s="305"/>
      <c r="Z90" s="305"/>
      <c r="AA90" s="305"/>
      <c r="AB90" s="305"/>
      <c r="AC90" s="306"/>
      <c r="AD90" s="307">
        <v>41811</v>
      </c>
      <c r="AE90" s="363">
        <f t="shared" ca="1" si="6"/>
        <v>379</v>
      </c>
      <c r="AF90" s="299" t="s">
        <v>48</v>
      </c>
    </row>
    <row r="91" spans="1:33" s="541" customFormat="1" ht="26.25" thickBot="1" x14ac:dyDescent="0.25">
      <c r="A91" s="300" t="s">
        <v>1555</v>
      </c>
      <c r="B91" s="567" t="s">
        <v>1428</v>
      </c>
      <c r="C91" s="567" t="s">
        <v>56</v>
      </c>
      <c r="D91" s="301" t="s">
        <v>1556</v>
      </c>
      <c r="E91" s="301" t="s">
        <v>1213</v>
      </c>
      <c r="F91" s="302">
        <v>7920</v>
      </c>
      <c r="G91" s="360">
        <v>0</v>
      </c>
      <c r="H91" s="360">
        <v>0</v>
      </c>
      <c r="I91" s="360">
        <v>0</v>
      </c>
      <c r="J91" s="360">
        <v>0</v>
      </c>
      <c r="K91" s="360">
        <v>0</v>
      </c>
      <c r="L91" s="360">
        <v>0</v>
      </c>
      <c r="M91" s="360">
        <v>0</v>
      </c>
      <c r="N91" s="360">
        <v>660</v>
      </c>
      <c r="O91" s="360">
        <v>660</v>
      </c>
      <c r="P91" s="360">
        <v>660</v>
      </c>
      <c r="Q91" s="360">
        <v>660</v>
      </c>
      <c r="R91" s="360">
        <v>660</v>
      </c>
      <c r="S91" s="360">
        <f t="shared" si="7"/>
        <v>3300</v>
      </c>
      <c r="T91" s="361">
        <f t="shared" ca="1" si="8"/>
        <v>-2198</v>
      </c>
      <c r="U91" s="303">
        <v>42184</v>
      </c>
      <c r="V91" s="359" t="s">
        <v>1557</v>
      </c>
      <c r="W91" s="362"/>
      <c r="X91" s="305"/>
      <c r="Y91" s="305"/>
      <c r="Z91" s="305"/>
      <c r="AA91" s="305"/>
      <c r="AB91" s="305"/>
      <c r="AC91" s="306"/>
      <c r="AD91" s="307">
        <v>41820</v>
      </c>
      <c r="AE91" s="363">
        <f t="shared" ca="1" si="6"/>
        <v>370</v>
      </c>
      <c r="AF91" s="299" t="s">
        <v>48</v>
      </c>
    </row>
    <row r="92" spans="1:33" s="308" customFormat="1" ht="39" thickBot="1" x14ac:dyDescent="0.25">
      <c r="A92" s="300" t="s">
        <v>1558</v>
      </c>
      <c r="B92" s="299"/>
      <c r="C92" s="299" t="s">
        <v>1670</v>
      </c>
      <c r="D92" s="301" t="s">
        <v>618</v>
      </c>
      <c r="E92" s="301" t="s">
        <v>1559</v>
      </c>
      <c r="F92" s="302">
        <v>82191</v>
      </c>
      <c r="G92" s="360">
        <v>0</v>
      </c>
      <c r="H92" s="360">
        <v>0</v>
      </c>
      <c r="I92" s="360">
        <v>0</v>
      </c>
      <c r="J92" s="360">
        <v>0</v>
      </c>
      <c r="K92" s="360">
        <v>0</v>
      </c>
      <c r="L92" s="360">
        <v>0</v>
      </c>
      <c r="M92" s="360">
        <v>0</v>
      </c>
      <c r="N92" s="360">
        <v>6849.25</v>
      </c>
      <c r="O92" s="360">
        <v>7612.18</v>
      </c>
      <c r="P92" s="360">
        <v>7887.07</v>
      </c>
      <c r="Q92" s="360">
        <v>7274.57</v>
      </c>
      <c r="R92" s="360">
        <v>6849.25</v>
      </c>
      <c r="S92" s="360">
        <f t="shared" si="7"/>
        <v>36472.32</v>
      </c>
      <c r="T92" s="361">
        <f t="shared" ca="1" si="8"/>
        <v>-2563</v>
      </c>
      <c r="U92" s="303">
        <v>41819</v>
      </c>
      <c r="V92" s="359" t="s">
        <v>1557</v>
      </c>
      <c r="W92" s="362"/>
      <c r="X92" s="305"/>
      <c r="Y92" s="305"/>
      <c r="Z92" s="305"/>
      <c r="AA92" s="305"/>
      <c r="AB92" s="305"/>
      <c r="AC92" s="306"/>
      <c r="AD92" s="307">
        <v>41820</v>
      </c>
      <c r="AE92" s="363">
        <f t="shared" ca="1" si="6"/>
        <v>370</v>
      </c>
      <c r="AF92" s="299" t="s">
        <v>48</v>
      </c>
    </row>
    <row r="93" spans="1:33" s="308" customFormat="1" ht="26.25" thickBot="1" x14ac:dyDescent="0.25">
      <c r="A93" s="300" t="s">
        <v>1560</v>
      </c>
      <c r="B93" s="299" t="s">
        <v>1428</v>
      </c>
      <c r="C93" s="299" t="s">
        <v>56</v>
      </c>
      <c r="D93" s="301" t="s">
        <v>1469</v>
      </c>
      <c r="E93" s="301" t="s">
        <v>1561</v>
      </c>
      <c r="F93" s="302">
        <v>12360</v>
      </c>
      <c r="G93" s="360">
        <v>0</v>
      </c>
      <c r="H93" s="360">
        <v>0</v>
      </c>
      <c r="I93" s="360">
        <v>0</v>
      </c>
      <c r="J93" s="360">
        <v>0</v>
      </c>
      <c r="K93" s="360">
        <v>0</v>
      </c>
      <c r="L93" s="360">
        <v>12360</v>
      </c>
      <c r="M93" s="360">
        <v>0</v>
      </c>
      <c r="N93" s="360">
        <v>0</v>
      </c>
      <c r="O93" s="360">
        <v>0</v>
      </c>
      <c r="P93" s="360">
        <v>0</v>
      </c>
      <c r="Q93" s="360">
        <v>0</v>
      </c>
      <c r="R93" s="360">
        <v>0</v>
      </c>
      <c r="S93" s="360">
        <f t="shared" si="7"/>
        <v>12360</v>
      </c>
      <c r="T93" s="361">
        <f t="shared" ca="1" si="8"/>
        <v>-2540</v>
      </c>
      <c r="U93" s="303">
        <v>41842</v>
      </c>
      <c r="V93" s="359" t="s">
        <v>1562</v>
      </c>
      <c r="W93" s="362"/>
      <c r="X93" s="305"/>
      <c r="Y93" s="305"/>
      <c r="Z93" s="305"/>
      <c r="AA93" s="305"/>
      <c r="AB93" s="305"/>
      <c r="AC93" s="306"/>
      <c r="AD93" s="307">
        <v>41813</v>
      </c>
      <c r="AE93" s="363">
        <f t="shared" ca="1" si="6"/>
        <v>377</v>
      </c>
      <c r="AF93" s="299"/>
    </row>
    <row r="94" spans="1:33" s="541" customFormat="1" ht="40.5" customHeight="1" thickBot="1" x14ac:dyDescent="0.25">
      <c r="A94" s="300" t="s">
        <v>1563</v>
      </c>
      <c r="B94" s="567" t="s">
        <v>1428</v>
      </c>
      <c r="C94" s="567" t="s">
        <v>56</v>
      </c>
      <c r="D94" s="301" t="s">
        <v>1136</v>
      </c>
      <c r="E94" s="301" t="s">
        <v>1564</v>
      </c>
      <c r="F94" s="302">
        <v>14400</v>
      </c>
      <c r="G94" s="360">
        <v>0</v>
      </c>
      <c r="H94" s="360">
        <v>0</v>
      </c>
      <c r="I94" s="360">
        <v>0</v>
      </c>
      <c r="J94" s="360">
        <v>0</v>
      </c>
      <c r="K94" s="360">
        <v>0</v>
      </c>
      <c r="L94" s="360">
        <v>0</v>
      </c>
      <c r="M94" s="360">
        <v>0</v>
      </c>
      <c r="N94" s="360">
        <v>2400</v>
      </c>
      <c r="O94" s="360">
        <v>2400</v>
      </c>
      <c r="P94" s="360">
        <v>2400</v>
      </c>
      <c r="Q94" s="360">
        <v>2400</v>
      </c>
      <c r="R94" s="360">
        <v>2400</v>
      </c>
      <c r="S94" s="360">
        <f t="shared" si="7"/>
        <v>12000</v>
      </c>
      <c r="T94" s="361">
        <f t="shared" ca="1" si="8"/>
        <v>-2380</v>
      </c>
      <c r="U94" s="303">
        <v>42002</v>
      </c>
      <c r="V94" s="359" t="s">
        <v>1557</v>
      </c>
      <c r="W94" s="362"/>
      <c r="X94" s="305"/>
      <c r="Y94" s="305"/>
      <c r="Z94" s="305"/>
      <c r="AA94" s="305"/>
      <c r="AB94" s="305"/>
      <c r="AC94" s="306"/>
      <c r="AD94" s="307">
        <v>41820</v>
      </c>
      <c r="AE94" s="363">
        <f t="shared" ca="1" si="6"/>
        <v>370</v>
      </c>
      <c r="AF94" s="299"/>
    </row>
    <row r="95" spans="1:33" s="541" customFormat="1" ht="39" thickBot="1" x14ac:dyDescent="0.25">
      <c r="A95" s="300" t="s">
        <v>1569</v>
      </c>
      <c r="B95" s="567" t="s">
        <v>1428</v>
      </c>
      <c r="C95" s="567" t="s">
        <v>56</v>
      </c>
      <c r="D95" s="301" t="s">
        <v>1487</v>
      </c>
      <c r="E95" s="301" t="s">
        <v>1570</v>
      </c>
      <c r="F95" s="302">
        <v>7800</v>
      </c>
      <c r="G95" s="360">
        <v>0</v>
      </c>
      <c r="H95" s="360">
        <v>0</v>
      </c>
      <c r="I95" s="360">
        <v>0</v>
      </c>
      <c r="J95" s="360">
        <v>0</v>
      </c>
      <c r="K95" s="360">
        <v>0</v>
      </c>
      <c r="L95" s="360">
        <v>0</v>
      </c>
      <c r="M95" s="360">
        <v>0</v>
      </c>
      <c r="N95" s="360">
        <v>650</v>
      </c>
      <c r="O95" s="360">
        <v>650</v>
      </c>
      <c r="P95" s="360">
        <v>650</v>
      </c>
      <c r="Q95" s="360">
        <v>650</v>
      </c>
      <c r="R95" s="360">
        <v>650</v>
      </c>
      <c r="S95" s="360">
        <f t="shared" si="7"/>
        <v>3250</v>
      </c>
      <c r="T95" s="361">
        <f t="shared" ca="1" si="8"/>
        <v>-2181</v>
      </c>
      <c r="U95" s="303">
        <v>42201</v>
      </c>
      <c r="V95" s="359" t="s">
        <v>1571</v>
      </c>
      <c r="W95" s="362"/>
      <c r="X95" s="305"/>
      <c r="Y95" s="305"/>
      <c r="Z95" s="305"/>
      <c r="AA95" s="305"/>
      <c r="AB95" s="305"/>
      <c r="AC95" s="306"/>
      <c r="AD95" s="307">
        <v>41837</v>
      </c>
      <c r="AE95" s="363">
        <f t="shared" ca="1" si="6"/>
        <v>353</v>
      </c>
      <c r="AF95" s="299" t="s">
        <v>48</v>
      </c>
    </row>
    <row r="96" spans="1:33" s="541" customFormat="1" ht="39" thickBot="1" x14ac:dyDescent="0.25">
      <c r="A96" s="300" t="s">
        <v>1572</v>
      </c>
      <c r="B96" s="567" t="s">
        <v>1428</v>
      </c>
      <c r="C96" s="567" t="s">
        <v>56</v>
      </c>
      <c r="D96" s="301" t="s">
        <v>1573</v>
      </c>
      <c r="E96" s="301" t="s">
        <v>1574</v>
      </c>
      <c r="F96" s="302">
        <v>11834</v>
      </c>
      <c r="G96" s="360">
        <v>0</v>
      </c>
      <c r="H96" s="360">
        <v>0</v>
      </c>
      <c r="I96" s="360">
        <v>0</v>
      </c>
      <c r="J96" s="360">
        <v>0</v>
      </c>
      <c r="K96" s="360">
        <v>0</v>
      </c>
      <c r="L96" s="360">
        <v>0</v>
      </c>
      <c r="M96" s="360">
        <v>0</v>
      </c>
      <c r="N96" s="360">
        <v>0</v>
      </c>
      <c r="O96" s="360">
        <v>0</v>
      </c>
      <c r="P96" s="360">
        <f>6694.6+5140</f>
        <v>11834.6</v>
      </c>
      <c r="Q96" s="360">
        <v>0</v>
      </c>
      <c r="R96" s="360">
        <v>0</v>
      </c>
      <c r="S96" s="360">
        <f t="shared" si="7"/>
        <v>11834.6</v>
      </c>
      <c r="T96" s="361">
        <f t="shared" ca="1" si="8"/>
        <v>-2502</v>
      </c>
      <c r="U96" s="303">
        <v>41880</v>
      </c>
      <c r="V96" s="359" t="s">
        <v>1557</v>
      </c>
      <c r="W96" s="362"/>
      <c r="X96" s="305"/>
      <c r="Y96" s="305"/>
      <c r="Z96" s="305"/>
      <c r="AA96" s="305"/>
      <c r="AB96" s="305"/>
      <c r="AC96" s="306">
        <v>41864</v>
      </c>
      <c r="AD96" s="307">
        <v>41820</v>
      </c>
      <c r="AE96" s="363">
        <f t="shared" ca="1" si="6"/>
        <v>370</v>
      </c>
      <c r="AF96" s="299" t="s">
        <v>48</v>
      </c>
    </row>
    <row r="97" spans="1:32" s="541" customFormat="1" ht="39" thickBot="1" x14ac:dyDescent="0.25">
      <c r="A97" s="300" t="s">
        <v>1575</v>
      </c>
      <c r="B97" s="567" t="s">
        <v>1428</v>
      </c>
      <c r="C97" s="567" t="s">
        <v>56</v>
      </c>
      <c r="D97" s="301" t="s">
        <v>1269</v>
      </c>
      <c r="E97" s="301" t="s">
        <v>1576</v>
      </c>
      <c r="F97" s="302">
        <v>13200</v>
      </c>
      <c r="G97" s="360">
        <v>0</v>
      </c>
      <c r="H97" s="360">
        <v>0</v>
      </c>
      <c r="I97" s="360">
        <v>0</v>
      </c>
      <c r="J97" s="360">
        <v>0</v>
      </c>
      <c r="K97" s="360">
        <v>0</v>
      </c>
      <c r="L97" s="360">
        <v>0</v>
      </c>
      <c r="M97" s="360">
        <v>0</v>
      </c>
      <c r="N97" s="360">
        <v>13200</v>
      </c>
      <c r="O97" s="360">
        <v>0</v>
      </c>
      <c r="P97" s="360">
        <v>0</v>
      </c>
      <c r="Q97" s="360">
        <v>0</v>
      </c>
      <c r="R97" s="360">
        <v>0</v>
      </c>
      <c r="S97" s="360">
        <f t="shared" si="7"/>
        <v>13200</v>
      </c>
      <c r="T97" s="361">
        <f t="shared" ca="1" si="8"/>
        <v>-2443</v>
      </c>
      <c r="U97" s="303">
        <v>41939</v>
      </c>
      <c r="V97" s="359" t="s">
        <v>1577</v>
      </c>
      <c r="W97" s="362"/>
      <c r="X97" s="305"/>
      <c r="Y97" s="305"/>
      <c r="Z97" s="305"/>
      <c r="AA97" s="305"/>
      <c r="AB97" s="305"/>
      <c r="AC97" s="306">
        <v>41884</v>
      </c>
      <c r="AD97" s="307">
        <v>41848</v>
      </c>
      <c r="AE97" s="363">
        <f t="shared" ca="1" si="6"/>
        <v>342</v>
      </c>
      <c r="AF97" s="299" t="s">
        <v>169</v>
      </c>
    </row>
    <row r="98" spans="1:32" s="541" customFormat="1" ht="51.75" thickBot="1" x14ac:dyDescent="0.25">
      <c r="A98" s="300" t="s">
        <v>1581</v>
      </c>
      <c r="B98" s="299"/>
      <c r="C98" s="299" t="s">
        <v>1676</v>
      </c>
      <c r="D98" s="301" t="s">
        <v>586</v>
      </c>
      <c r="E98" s="301" t="s">
        <v>1582</v>
      </c>
      <c r="F98" s="302" t="s">
        <v>1637</v>
      </c>
      <c r="G98" s="360">
        <v>0</v>
      </c>
      <c r="H98" s="360">
        <v>0</v>
      </c>
      <c r="I98" s="360">
        <v>0</v>
      </c>
      <c r="J98" s="360">
        <v>0</v>
      </c>
      <c r="K98" s="360">
        <v>0</v>
      </c>
      <c r="L98" s="360">
        <v>0</v>
      </c>
      <c r="M98" s="360">
        <v>0</v>
      </c>
      <c r="N98" s="360">
        <v>0</v>
      </c>
      <c r="O98" s="360">
        <v>111986.1</v>
      </c>
      <c r="P98" s="360">
        <v>109523.33</v>
      </c>
      <c r="Q98" s="360">
        <f>117379.85+21818.27</f>
        <v>139198.12</v>
      </c>
      <c r="R98" s="360">
        <f>122969.91+51828.84</f>
        <v>174798.75</v>
      </c>
      <c r="S98" s="360">
        <f t="shared" si="7"/>
        <v>535506.30000000005</v>
      </c>
      <c r="T98" s="361">
        <f t="shared" ca="1" si="8"/>
        <v>-2152</v>
      </c>
      <c r="U98" s="303">
        <v>42230</v>
      </c>
      <c r="V98" s="359" t="s">
        <v>1638</v>
      </c>
      <c r="W98" s="362"/>
      <c r="X98" s="305"/>
      <c r="Y98" s="305"/>
      <c r="Z98" s="305"/>
      <c r="AA98" s="305"/>
      <c r="AB98" s="305"/>
      <c r="AC98" s="306"/>
      <c r="AD98" s="307">
        <v>41897</v>
      </c>
      <c r="AE98" s="363">
        <f t="shared" ca="1" si="6"/>
        <v>293</v>
      </c>
      <c r="AF98" s="299" t="s">
        <v>96</v>
      </c>
    </row>
    <row r="99" spans="1:32" s="541" customFormat="1" ht="51.75" thickBot="1" x14ac:dyDescent="0.25">
      <c r="A99" s="300" t="s">
        <v>1583</v>
      </c>
      <c r="B99" s="567" t="s">
        <v>1608</v>
      </c>
      <c r="C99" s="567" t="s">
        <v>56</v>
      </c>
      <c r="D99" s="301" t="s">
        <v>1584</v>
      </c>
      <c r="E99" s="301" t="s">
        <v>1585</v>
      </c>
      <c r="F99" s="302" t="s">
        <v>1586</v>
      </c>
      <c r="G99" s="360">
        <v>0</v>
      </c>
      <c r="H99" s="360">
        <v>0</v>
      </c>
      <c r="I99" s="360">
        <v>0</v>
      </c>
      <c r="J99" s="360">
        <v>0</v>
      </c>
      <c r="K99" s="360">
        <v>0</v>
      </c>
      <c r="L99" s="360">
        <v>0</v>
      </c>
      <c r="M99" s="360">
        <v>0</v>
      </c>
      <c r="N99" s="360">
        <v>0</v>
      </c>
      <c r="O99" s="360">
        <v>0</v>
      </c>
      <c r="P99" s="360">
        <v>580.58000000000004</v>
      </c>
      <c r="Q99" s="360">
        <v>579.41999999999996</v>
      </c>
      <c r="R99" s="360">
        <v>580</v>
      </c>
      <c r="S99" s="360">
        <f t="shared" si="7"/>
        <v>1740</v>
      </c>
      <c r="T99" s="361">
        <f t="shared" ca="1" si="8"/>
        <v>-2138</v>
      </c>
      <c r="U99" s="303">
        <v>42244</v>
      </c>
      <c r="V99" s="359" t="s">
        <v>1587</v>
      </c>
      <c r="W99" s="362"/>
      <c r="X99" s="305"/>
      <c r="Y99" s="305"/>
      <c r="Z99" s="305"/>
      <c r="AA99" s="305"/>
      <c r="AB99" s="305"/>
      <c r="AC99" s="306"/>
      <c r="AD99" s="307">
        <v>41880</v>
      </c>
      <c r="AE99" s="363">
        <f t="shared" ref="AE99:AE135" ca="1" si="9">TODAY()-DATE(YEAR(AD99)+6,MONTH(AD99),DAY(AD99))</f>
        <v>310</v>
      </c>
      <c r="AF99" s="299"/>
    </row>
    <row r="100" spans="1:32" s="541" customFormat="1" ht="51.75" thickBot="1" x14ac:dyDescent="0.25">
      <c r="A100" s="300" t="s">
        <v>1592</v>
      </c>
      <c r="B100" s="299" t="s">
        <v>1673</v>
      </c>
      <c r="C100" s="299" t="s">
        <v>1674</v>
      </c>
      <c r="D100" s="301" t="s">
        <v>1594</v>
      </c>
      <c r="E100" s="301" t="s">
        <v>1595</v>
      </c>
      <c r="F100" s="302">
        <v>23688</v>
      </c>
      <c r="G100" s="360">
        <v>0</v>
      </c>
      <c r="H100" s="360">
        <v>0</v>
      </c>
      <c r="I100" s="360">
        <v>0</v>
      </c>
      <c r="J100" s="360">
        <v>0</v>
      </c>
      <c r="K100" s="360">
        <v>0</v>
      </c>
      <c r="L100" s="360">
        <v>0</v>
      </c>
      <c r="M100" s="360">
        <v>0</v>
      </c>
      <c r="N100" s="360">
        <v>0</v>
      </c>
      <c r="O100" s="360">
        <v>0</v>
      </c>
      <c r="P100" s="360">
        <v>0</v>
      </c>
      <c r="Q100" s="360">
        <v>23688</v>
      </c>
      <c r="R100" s="360">
        <v>0</v>
      </c>
      <c r="S100" s="360">
        <f t="shared" si="7"/>
        <v>23688</v>
      </c>
      <c r="T100" s="361">
        <f t="shared" ca="1" si="8"/>
        <v>-1369</v>
      </c>
      <c r="U100" s="303">
        <v>43013</v>
      </c>
      <c r="V100" s="359" t="s">
        <v>1596</v>
      </c>
      <c r="W100" s="362"/>
      <c r="X100" s="305"/>
      <c r="Y100" s="305"/>
      <c r="Z100" s="305"/>
      <c r="AA100" s="305"/>
      <c r="AB100" s="305"/>
      <c r="AC100" s="306"/>
      <c r="AD100" s="307">
        <v>41918</v>
      </c>
      <c r="AE100" s="363">
        <f t="shared" ca="1" si="9"/>
        <v>272</v>
      </c>
      <c r="AF100" s="299" t="s">
        <v>41</v>
      </c>
    </row>
    <row r="101" spans="1:32" s="541" customFormat="1" ht="26.25" thickBot="1" x14ac:dyDescent="0.25">
      <c r="A101" s="300" t="s">
        <v>1597</v>
      </c>
      <c r="B101" s="299" t="s">
        <v>1598</v>
      </c>
      <c r="C101" s="567" t="s">
        <v>56</v>
      </c>
      <c r="D101" s="301" t="s">
        <v>973</v>
      </c>
      <c r="E101" s="301" t="s">
        <v>1438</v>
      </c>
      <c r="F101" s="302">
        <v>7950</v>
      </c>
      <c r="G101" s="360">
        <v>0</v>
      </c>
      <c r="H101" s="360">
        <v>0</v>
      </c>
      <c r="I101" s="360">
        <v>0</v>
      </c>
      <c r="J101" s="360">
        <v>0</v>
      </c>
      <c r="K101" s="360">
        <v>0</v>
      </c>
      <c r="L101" s="360">
        <v>0</v>
      </c>
      <c r="M101" s="360">
        <v>0</v>
      </c>
      <c r="N101" s="360">
        <v>0</v>
      </c>
      <c r="O101" s="360">
        <v>0</v>
      </c>
      <c r="P101" s="360">
        <v>7950</v>
      </c>
      <c r="Q101" s="360">
        <v>0</v>
      </c>
      <c r="R101" s="360">
        <v>0</v>
      </c>
      <c r="S101" s="360">
        <f t="shared" si="7"/>
        <v>7950</v>
      </c>
      <c r="T101" s="361">
        <f t="shared" ca="1" si="8"/>
        <v>-2089</v>
      </c>
      <c r="U101" s="303">
        <v>42293</v>
      </c>
      <c r="V101" s="359" t="s">
        <v>1599</v>
      </c>
      <c r="W101" s="362"/>
      <c r="X101" s="305"/>
      <c r="Y101" s="305"/>
      <c r="Z101" s="305"/>
      <c r="AA101" s="305"/>
      <c r="AB101" s="305"/>
      <c r="AC101" s="306"/>
      <c r="AD101" s="307">
        <v>41929</v>
      </c>
      <c r="AE101" s="363">
        <f t="shared" ca="1" si="9"/>
        <v>261</v>
      </c>
      <c r="AF101" s="299" t="s">
        <v>649</v>
      </c>
    </row>
    <row r="102" spans="1:32" s="541" customFormat="1" ht="39" thickBot="1" x14ac:dyDescent="0.25">
      <c r="A102" s="300" t="s">
        <v>1600</v>
      </c>
      <c r="B102" s="299"/>
      <c r="C102" s="299" t="s">
        <v>1675</v>
      </c>
      <c r="D102" s="301" t="s">
        <v>1601</v>
      </c>
      <c r="E102" s="301" t="s">
        <v>1602</v>
      </c>
      <c r="F102" s="302">
        <v>10160</v>
      </c>
      <c r="G102" s="360">
        <v>0</v>
      </c>
      <c r="H102" s="360">
        <v>0</v>
      </c>
      <c r="I102" s="360">
        <v>0</v>
      </c>
      <c r="J102" s="360">
        <v>0</v>
      </c>
      <c r="K102" s="360">
        <v>0</v>
      </c>
      <c r="L102" s="360">
        <v>0</v>
      </c>
      <c r="M102" s="360">
        <v>0</v>
      </c>
      <c r="N102" s="360">
        <v>0</v>
      </c>
      <c r="O102" s="360">
        <v>0</v>
      </c>
      <c r="P102" s="360">
        <v>0</v>
      </c>
      <c r="Q102" s="360">
        <v>0</v>
      </c>
      <c r="R102" s="360">
        <v>0</v>
      </c>
      <c r="S102" s="360">
        <f t="shared" si="7"/>
        <v>0</v>
      </c>
      <c r="T102" s="361">
        <f t="shared" ca="1" si="8"/>
        <v>-2105</v>
      </c>
      <c r="U102" s="303">
        <v>42277</v>
      </c>
      <c r="V102" s="359" t="s">
        <v>1603</v>
      </c>
      <c r="W102" s="362"/>
      <c r="X102" s="305"/>
      <c r="Y102" s="305"/>
      <c r="Z102" s="305"/>
      <c r="AA102" s="305"/>
      <c r="AB102" s="305"/>
      <c r="AC102" s="306"/>
      <c r="AD102" s="307">
        <v>41913</v>
      </c>
      <c r="AE102" s="363">
        <f t="shared" ca="1" si="9"/>
        <v>277</v>
      </c>
      <c r="AF102" s="299" t="s">
        <v>96</v>
      </c>
    </row>
    <row r="103" spans="1:32" s="541" customFormat="1" ht="51.75" thickBot="1" x14ac:dyDescent="0.25">
      <c r="A103" s="300" t="s">
        <v>1604</v>
      </c>
      <c r="B103" s="299"/>
      <c r="C103" s="299" t="s">
        <v>1672</v>
      </c>
      <c r="D103" s="301" t="s">
        <v>1605</v>
      </c>
      <c r="E103" s="588" t="s">
        <v>1606</v>
      </c>
      <c r="F103" s="302">
        <v>82397.5</v>
      </c>
      <c r="G103" s="360">
        <v>0</v>
      </c>
      <c r="H103" s="360">
        <v>0</v>
      </c>
      <c r="I103" s="360">
        <v>0</v>
      </c>
      <c r="J103" s="360">
        <v>0</v>
      </c>
      <c r="K103" s="360">
        <v>0</v>
      </c>
      <c r="L103" s="360">
        <v>0</v>
      </c>
      <c r="M103" s="360">
        <v>0</v>
      </c>
      <c r="N103" s="360">
        <v>0</v>
      </c>
      <c r="O103" s="360">
        <v>0</v>
      </c>
      <c r="P103" s="360">
        <v>0</v>
      </c>
      <c r="Q103" s="360">
        <f>2400+2400</f>
        <v>4800</v>
      </c>
      <c r="R103" s="360">
        <v>0</v>
      </c>
      <c r="S103" s="360">
        <f>SUM(G103:R103)</f>
        <v>4800</v>
      </c>
      <c r="T103" s="361">
        <f t="shared" ca="1" si="8"/>
        <v>-2085</v>
      </c>
      <c r="U103" s="303">
        <v>42297</v>
      </c>
      <c r="V103" s="359" t="s">
        <v>1607</v>
      </c>
      <c r="W103" s="362"/>
      <c r="X103" s="305"/>
      <c r="Y103" s="305"/>
      <c r="Z103" s="305"/>
      <c r="AA103" s="305"/>
      <c r="AB103" s="305"/>
      <c r="AC103" s="306"/>
      <c r="AD103" s="307">
        <v>41933</v>
      </c>
      <c r="AE103" s="363">
        <f t="shared" ca="1" si="9"/>
        <v>257</v>
      </c>
      <c r="AF103" s="299"/>
    </row>
    <row r="104" spans="1:32" s="541" customFormat="1" ht="51.75" thickBot="1" x14ac:dyDescent="0.25">
      <c r="A104" s="300" t="s">
        <v>1614</v>
      </c>
      <c r="B104" s="299" t="s">
        <v>1668</v>
      </c>
      <c r="C104" s="299" t="s">
        <v>1669</v>
      </c>
      <c r="D104" s="301" t="s">
        <v>1615</v>
      </c>
      <c r="E104" s="301" t="s">
        <v>1616</v>
      </c>
      <c r="F104" s="302">
        <v>61680</v>
      </c>
      <c r="G104" s="360">
        <v>0</v>
      </c>
      <c r="H104" s="360">
        <v>0</v>
      </c>
      <c r="I104" s="360">
        <v>0</v>
      </c>
      <c r="J104" s="360">
        <v>0</v>
      </c>
      <c r="K104" s="360">
        <v>0</v>
      </c>
      <c r="L104" s="360">
        <v>0</v>
      </c>
      <c r="M104" s="360">
        <v>0</v>
      </c>
      <c r="N104" s="360">
        <v>0</v>
      </c>
      <c r="O104" s="360">
        <v>0</v>
      </c>
      <c r="P104" s="360">
        <v>0</v>
      </c>
      <c r="Q104" s="360">
        <v>0</v>
      </c>
      <c r="R104" s="360">
        <v>0</v>
      </c>
      <c r="S104" s="360">
        <f t="shared" si="7"/>
        <v>0</v>
      </c>
      <c r="T104" s="361">
        <f t="shared" ca="1" si="8"/>
        <v>-962</v>
      </c>
      <c r="U104" s="303">
        <v>43420</v>
      </c>
      <c r="V104" s="359" t="s">
        <v>1617</v>
      </c>
      <c r="W104" s="362"/>
      <c r="X104" s="305"/>
      <c r="Y104" s="305"/>
      <c r="Z104" s="305"/>
      <c r="AA104" s="305"/>
      <c r="AB104" s="305"/>
      <c r="AC104" s="306"/>
      <c r="AD104" s="307">
        <v>41961</v>
      </c>
      <c r="AE104" s="363">
        <f t="shared" ca="1" si="9"/>
        <v>229</v>
      </c>
      <c r="AF104" s="299" t="s">
        <v>41</v>
      </c>
    </row>
    <row r="105" spans="1:32" s="541" customFormat="1" ht="26.25" thickBot="1" x14ac:dyDescent="0.25">
      <c r="A105" s="300" t="s">
        <v>1618</v>
      </c>
      <c r="B105" s="567" t="s">
        <v>1608</v>
      </c>
      <c r="C105" s="567" t="s">
        <v>56</v>
      </c>
      <c r="D105" s="301" t="s">
        <v>1547</v>
      </c>
      <c r="E105" s="301" t="s">
        <v>1619</v>
      </c>
      <c r="F105" s="302">
        <v>13200</v>
      </c>
      <c r="G105" s="360">
        <v>0</v>
      </c>
      <c r="H105" s="360">
        <v>0</v>
      </c>
      <c r="I105" s="360">
        <v>0</v>
      </c>
      <c r="J105" s="360">
        <v>0</v>
      </c>
      <c r="K105" s="360">
        <v>0</v>
      </c>
      <c r="L105" s="360">
        <v>0</v>
      </c>
      <c r="M105" s="360">
        <v>0</v>
      </c>
      <c r="N105" s="360">
        <v>0</v>
      </c>
      <c r="O105" s="360">
        <v>0</v>
      </c>
      <c r="P105" s="360">
        <v>0</v>
      </c>
      <c r="Q105" s="360">
        <v>0</v>
      </c>
      <c r="R105" s="360">
        <v>13200</v>
      </c>
      <c r="S105" s="360">
        <f t="shared" si="7"/>
        <v>13200</v>
      </c>
      <c r="T105" s="361">
        <f t="shared" ca="1" si="8"/>
        <v>-2378</v>
      </c>
      <c r="U105" s="303">
        <v>42004</v>
      </c>
      <c r="V105" s="359" t="s">
        <v>1620</v>
      </c>
      <c r="W105" s="362"/>
      <c r="X105" s="305"/>
      <c r="Y105" s="305"/>
      <c r="Z105" s="305"/>
      <c r="AA105" s="305"/>
      <c r="AB105" s="305"/>
      <c r="AC105" s="306"/>
      <c r="AD105" s="307">
        <v>41945</v>
      </c>
      <c r="AE105" s="363">
        <f t="shared" ca="1" si="9"/>
        <v>245</v>
      </c>
      <c r="AF105" s="299" t="s">
        <v>1454</v>
      </c>
    </row>
    <row r="106" spans="1:32" s="541" customFormat="1" ht="26.25" thickBot="1" x14ac:dyDescent="0.25">
      <c r="A106" s="300" t="s">
        <v>1671</v>
      </c>
      <c r="B106" s="567" t="s">
        <v>1608</v>
      </c>
      <c r="C106" s="567" t="s">
        <v>56</v>
      </c>
      <c r="D106" s="301" t="s">
        <v>1626</v>
      </c>
      <c r="E106" s="301" t="s">
        <v>1627</v>
      </c>
      <c r="F106" s="302">
        <v>15808</v>
      </c>
      <c r="G106" s="360">
        <v>0</v>
      </c>
      <c r="H106" s="360">
        <v>0</v>
      </c>
      <c r="I106" s="360">
        <v>0</v>
      </c>
      <c r="J106" s="360">
        <v>0</v>
      </c>
      <c r="K106" s="360">
        <v>0</v>
      </c>
      <c r="L106" s="360">
        <v>0</v>
      </c>
      <c r="M106" s="360">
        <v>0</v>
      </c>
      <c r="N106" s="360">
        <v>0</v>
      </c>
      <c r="O106" s="360">
        <v>0</v>
      </c>
      <c r="P106" s="360">
        <v>0</v>
      </c>
      <c r="Q106" s="360">
        <v>0</v>
      </c>
      <c r="R106" s="360">
        <v>0</v>
      </c>
      <c r="S106" s="360">
        <f t="shared" si="7"/>
        <v>0</v>
      </c>
      <c r="T106" s="361">
        <f t="shared" ca="1" si="8"/>
        <v>-2390</v>
      </c>
      <c r="U106" s="303">
        <v>41992</v>
      </c>
      <c r="V106" s="359" t="s">
        <v>1628</v>
      </c>
      <c r="W106" s="362"/>
      <c r="X106" s="305"/>
      <c r="Y106" s="305"/>
      <c r="Z106" s="305"/>
      <c r="AA106" s="305"/>
      <c r="AB106" s="305"/>
      <c r="AC106" s="306"/>
      <c r="AD106" s="307">
        <v>41971</v>
      </c>
      <c r="AE106" s="363">
        <f t="shared" ca="1" si="9"/>
        <v>219</v>
      </c>
      <c r="AF106" s="299" t="s">
        <v>96</v>
      </c>
    </row>
    <row r="107" spans="1:32" s="541" customFormat="1" ht="39" thickBot="1" x14ac:dyDescent="0.25">
      <c r="A107" s="300" t="s">
        <v>1631</v>
      </c>
      <c r="B107" s="299" t="s">
        <v>1667</v>
      </c>
      <c r="C107" s="299" t="s">
        <v>1670</v>
      </c>
      <c r="D107" s="301" t="s">
        <v>1632</v>
      </c>
      <c r="E107" s="301" t="s">
        <v>1633</v>
      </c>
      <c r="F107" s="302">
        <v>110267.4</v>
      </c>
      <c r="G107" s="360">
        <v>0</v>
      </c>
      <c r="H107" s="360">
        <v>0</v>
      </c>
      <c r="I107" s="360">
        <v>0</v>
      </c>
      <c r="J107" s="360">
        <v>0</v>
      </c>
      <c r="K107" s="360">
        <v>0</v>
      </c>
      <c r="L107" s="360">
        <v>0</v>
      </c>
      <c r="M107" s="360">
        <v>0</v>
      </c>
      <c r="N107" s="360">
        <v>0</v>
      </c>
      <c r="O107" s="360">
        <v>0</v>
      </c>
      <c r="P107" s="360">
        <v>0</v>
      </c>
      <c r="Q107" s="360">
        <v>0</v>
      </c>
      <c r="R107" s="360">
        <v>0</v>
      </c>
      <c r="S107" s="360">
        <f t="shared" si="7"/>
        <v>0</v>
      </c>
      <c r="T107" s="361">
        <f t="shared" ca="1" si="8"/>
        <v>-2033</v>
      </c>
      <c r="U107" s="303">
        <v>42349</v>
      </c>
      <c r="V107" s="359" t="s">
        <v>1634</v>
      </c>
      <c r="W107" s="362"/>
      <c r="X107" s="305"/>
      <c r="Y107" s="305"/>
      <c r="Z107" s="305"/>
      <c r="AA107" s="305"/>
      <c r="AB107" s="305"/>
      <c r="AC107" s="306"/>
      <c r="AD107" s="307">
        <v>41985</v>
      </c>
      <c r="AE107" s="363">
        <f t="shared" ca="1" si="9"/>
        <v>205</v>
      </c>
      <c r="AF107" s="299" t="s">
        <v>48</v>
      </c>
    </row>
    <row r="108" spans="1:32" s="541" customFormat="1" ht="39" thickBot="1" x14ac:dyDescent="0.25">
      <c r="A108" s="300" t="s">
        <v>1631</v>
      </c>
      <c r="B108" s="299" t="s">
        <v>1667</v>
      </c>
      <c r="C108" s="299" t="s">
        <v>1670</v>
      </c>
      <c r="D108" s="301" t="s">
        <v>1635</v>
      </c>
      <c r="E108" s="301" t="s">
        <v>1636</v>
      </c>
      <c r="F108" s="302">
        <v>100800</v>
      </c>
      <c r="G108" s="360">
        <v>0</v>
      </c>
      <c r="H108" s="360">
        <v>0</v>
      </c>
      <c r="I108" s="360">
        <v>0</v>
      </c>
      <c r="J108" s="360">
        <v>0</v>
      </c>
      <c r="K108" s="360">
        <v>0</v>
      </c>
      <c r="L108" s="360">
        <v>0</v>
      </c>
      <c r="M108" s="360">
        <v>0</v>
      </c>
      <c r="N108" s="360">
        <v>0</v>
      </c>
      <c r="O108" s="360">
        <v>0</v>
      </c>
      <c r="P108" s="360">
        <v>0</v>
      </c>
      <c r="Q108" s="360">
        <v>0</v>
      </c>
      <c r="R108" s="360">
        <v>0</v>
      </c>
      <c r="S108" s="360">
        <f t="shared" si="7"/>
        <v>0</v>
      </c>
      <c r="T108" s="361">
        <f t="shared" ca="1" si="8"/>
        <v>-2033</v>
      </c>
      <c r="U108" s="303">
        <v>42349</v>
      </c>
      <c r="V108" s="359" t="s">
        <v>1634</v>
      </c>
      <c r="W108" s="362"/>
      <c r="X108" s="305"/>
      <c r="Y108" s="305"/>
      <c r="Z108" s="305"/>
      <c r="AA108" s="305"/>
      <c r="AB108" s="305"/>
      <c r="AC108" s="306"/>
      <c r="AD108" s="307">
        <v>41985</v>
      </c>
      <c r="AE108" s="363">
        <f t="shared" ca="1" si="9"/>
        <v>205</v>
      </c>
      <c r="AF108" s="299" t="s">
        <v>48</v>
      </c>
    </row>
    <row r="109" spans="1:32" s="541" customFormat="1" ht="39" thickBot="1" x14ac:dyDescent="0.25">
      <c r="A109" s="300" t="s">
        <v>1641</v>
      </c>
      <c r="B109" s="567" t="s">
        <v>1608</v>
      </c>
      <c r="C109" s="567" t="s">
        <v>56</v>
      </c>
      <c r="D109" s="301" t="s">
        <v>1642</v>
      </c>
      <c r="E109" s="301" t="s">
        <v>1643</v>
      </c>
      <c r="F109" s="302">
        <v>3388.04</v>
      </c>
      <c r="G109" s="360">
        <v>0</v>
      </c>
      <c r="H109" s="360">
        <v>0</v>
      </c>
      <c r="I109" s="360">
        <v>0</v>
      </c>
      <c r="J109" s="360">
        <v>0</v>
      </c>
      <c r="K109" s="360">
        <v>0</v>
      </c>
      <c r="L109" s="360">
        <v>0</v>
      </c>
      <c r="M109" s="360">
        <v>0</v>
      </c>
      <c r="N109" s="360">
        <v>0</v>
      </c>
      <c r="O109" s="360">
        <v>0</v>
      </c>
      <c r="P109" s="360">
        <v>0</v>
      </c>
      <c r="Q109" s="360">
        <v>0</v>
      </c>
      <c r="R109" s="360">
        <v>0</v>
      </c>
      <c r="S109" s="360">
        <f t="shared" si="7"/>
        <v>0</v>
      </c>
      <c r="T109" s="361">
        <f t="shared" ca="1" si="8"/>
        <v>-2036</v>
      </c>
      <c r="U109" s="303">
        <v>42346</v>
      </c>
      <c r="V109" s="359" t="s">
        <v>1644</v>
      </c>
      <c r="W109" s="362"/>
      <c r="X109" s="305"/>
      <c r="Y109" s="305"/>
      <c r="Z109" s="305"/>
      <c r="AA109" s="305"/>
      <c r="AB109" s="305"/>
      <c r="AC109" s="306"/>
      <c r="AD109" s="307">
        <v>41967</v>
      </c>
      <c r="AE109" s="363">
        <f t="shared" ca="1" si="9"/>
        <v>223</v>
      </c>
      <c r="AF109" s="299" t="s">
        <v>41</v>
      </c>
    </row>
    <row r="110" spans="1:32" ht="39" thickBot="1" x14ac:dyDescent="0.25">
      <c r="A110" s="300" t="s">
        <v>1645</v>
      </c>
      <c r="B110" s="567" t="s">
        <v>1608</v>
      </c>
      <c r="C110" s="567" t="s">
        <v>56</v>
      </c>
      <c r="D110" s="301" t="s">
        <v>1646</v>
      </c>
      <c r="E110" s="301" t="s">
        <v>1647</v>
      </c>
      <c r="F110" s="302">
        <v>13399.2</v>
      </c>
      <c r="G110" s="360">
        <v>0</v>
      </c>
      <c r="H110" s="360">
        <v>0</v>
      </c>
      <c r="I110" s="360">
        <v>0</v>
      </c>
      <c r="J110" s="360">
        <v>0</v>
      </c>
      <c r="K110" s="360">
        <v>0</v>
      </c>
      <c r="L110" s="360">
        <v>0</v>
      </c>
      <c r="M110" s="360">
        <v>0</v>
      </c>
      <c r="N110" s="360">
        <v>0</v>
      </c>
      <c r="O110" s="360">
        <v>0</v>
      </c>
      <c r="P110" s="360">
        <v>0</v>
      </c>
      <c r="Q110" s="360">
        <v>0</v>
      </c>
      <c r="R110" s="360">
        <v>0</v>
      </c>
      <c r="S110" s="284">
        <f t="shared" si="7"/>
        <v>0</v>
      </c>
      <c r="T110" s="274">
        <f t="shared" ca="1" si="8"/>
        <v>-538</v>
      </c>
      <c r="U110" s="303">
        <v>43844</v>
      </c>
      <c r="V110" s="304" t="s">
        <v>1648</v>
      </c>
      <c r="W110" s="315"/>
      <c r="X110" s="305"/>
      <c r="Y110" s="305"/>
      <c r="Z110" s="305"/>
      <c r="AA110" s="305"/>
      <c r="AB110" s="305"/>
      <c r="AC110" s="306"/>
      <c r="AD110" s="307">
        <v>42019</v>
      </c>
      <c r="AE110" s="278">
        <f t="shared" ca="1" si="9"/>
        <v>171</v>
      </c>
      <c r="AF110" s="299" t="s">
        <v>48</v>
      </c>
    </row>
    <row r="111" spans="1:32" ht="13.5" thickBot="1" x14ac:dyDescent="0.25">
      <c r="A111" s="300"/>
      <c r="B111" s="299"/>
      <c r="C111" s="299"/>
      <c r="D111" s="301"/>
      <c r="E111" s="301"/>
      <c r="F111" s="302"/>
      <c r="G111" s="360"/>
      <c r="H111" s="360"/>
      <c r="I111" s="360"/>
      <c r="J111" s="360"/>
      <c r="K111" s="360"/>
      <c r="L111" s="360"/>
      <c r="M111" s="360"/>
      <c r="N111" s="360"/>
      <c r="O111" s="360"/>
      <c r="P111" s="360"/>
      <c r="Q111" s="360"/>
      <c r="R111" s="360"/>
      <c r="S111" s="284">
        <f t="shared" si="7"/>
        <v>0</v>
      </c>
      <c r="T111" s="274">
        <f t="shared" ca="1" si="8"/>
        <v>-44382</v>
      </c>
      <c r="U111" s="303"/>
      <c r="V111" s="304"/>
      <c r="W111" s="315"/>
      <c r="X111" s="305"/>
      <c r="Y111" s="305"/>
      <c r="Z111" s="305"/>
      <c r="AA111" s="305"/>
      <c r="AB111" s="305"/>
      <c r="AC111" s="306"/>
      <c r="AD111" s="307"/>
      <c r="AE111" s="278">
        <f t="shared" ca="1" si="9"/>
        <v>42190</v>
      </c>
      <c r="AF111" s="299"/>
    </row>
    <row r="112" spans="1:32" ht="13.5" thickBot="1" x14ac:dyDescent="0.25">
      <c r="A112" s="300"/>
      <c r="B112" s="299"/>
      <c r="C112" s="299"/>
      <c r="D112" s="301"/>
      <c r="E112" s="301"/>
      <c r="F112" s="302"/>
      <c r="G112" s="360"/>
      <c r="H112" s="360"/>
      <c r="I112" s="360"/>
      <c r="J112" s="360"/>
      <c r="K112" s="360"/>
      <c r="L112" s="360"/>
      <c r="M112" s="360"/>
      <c r="N112" s="360"/>
      <c r="O112" s="360"/>
      <c r="P112" s="360"/>
      <c r="Q112" s="360"/>
      <c r="R112" s="360"/>
      <c r="S112" s="284">
        <f t="shared" si="7"/>
        <v>0</v>
      </c>
      <c r="T112" s="274">
        <f t="shared" ca="1" si="8"/>
        <v>-44382</v>
      </c>
      <c r="U112" s="303"/>
      <c r="V112" s="304"/>
      <c r="W112" s="315"/>
      <c r="X112" s="305"/>
      <c r="Y112" s="305"/>
      <c r="Z112" s="305"/>
      <c r="AA112" s="305"/>
      <c r="AB112" s="305"/>
      <c r="AC112" s="306"/>
      <c r="AD112" s="307"/>
      <c r="AE112" s="278">
        <f t="shared" ca="1" si="9"/>
        <v>42190</v>
      </c>
      <c r="AF112" s="299"/>
    </row>
    <row r="113" spans="1:32" ht="13.5" thickBot="1" x14ac:dyDescent="0.25">
      <c r="A113" s="300"/>
      <c r="B113" s="299"/>
      <c r="C113" s="299"/>
      <c r="D113" s="301"/>
      <c r="E113" s="301"/>
      <c r="F113" s="302"/>
      <c r="G113" s="360"/>
      <c r="H113" s="360"/>
      <c r="I113" s="360"/>
      <c r="J113" s="360"/>
      <c r="K113" s="360"/>
      <c r="L113" s="360"/>
      <c r="M113" s="360"/>
      <c r="N113" s="360"/>
      <c r="O113" s="360"/>
      <c r="P113" s="360"/>
      <c r="Q113" s="360"/>
      <c r="R113" s="360"/>
      <c r="S113" s="284">
        <f t="shared" ref="S113:S135" si="10">SUM(G113:R113)</f>
        <v>0</v>
      </c>
      <c r="T113" s="274">
        <f t="shared" ca="1" si="8"/>
        <v>-44382</v>
      </c>
      <c r="U113" s="303"/>
      <c r="V113" s="304"/>
      <c r="W113" s="315"/>
      <c r="X113" s="305"/>
      <c r="Y113" s="305"/>
      <c r="Z113" s="305"/>
      <c r="AA113" s="305"/>
      <c r="AB113" s="305"/>
      <c r="AC113" s="306"/>
      <c r="AD113" s="307"/>
      <c r="AE113" s="278">
        <f t="shared" ca="1" si="9"/>
        <v>42190</v>
      </c>
      <c r="AF113" s="299"/>
    </row>
    <row r="114" spans="1:32" ht="13.5" thickBot="1" x14ac:dyDescent="0.25">
      <c r="A114" s="300"/>
      <c r="B114" s="299"/>
      <c r="C114" s="299"/>
      <c r="D114" s="301"/>
      <c r="E114" s="301"/>
      <c r="F114" s="302"/>
      <c r="G114" s="360"/>
      <c r="H114" s="360"/>
      <c r="I114" s="360"/>
      <c r="J114" s="360"/>
      <c r="K114" s="360"/>
      <c r="L114" s="360"/>
      <c r="M114" s="360"/>
      <c r="N114" s="360"/>
      <c r="O114" s="360"/>
      <c r="P114" s="360"/>
      <c r="Q114" s="360"/>
      <c r="R114" s="360"/>
      <c r="S114" s="284">
        <f t="shared" si="10"/>
        <v>0</v>
      </c>
      <c r="T114" s="274">
        <f t="shared" ca="1" si="8"/>
        <v>-44382</v>
      </c>
      <c r="U114" s="303"/>
      <c r="V114" s="304"/>
      <c r="W114" s="315"/>
      <c r="X114" s="305"/>
      <c r="Y114" s="305"/>
      <c r="Z114" s="305"/>
      <c r="AA114" s="305"/>
      <c r="AB114" s="305"/>
      <c r="AC114" s="306"/>
      <c r="AD114" s="307"/>
      <c r="AE114" s="278">
        <f t="shared" ca="1" si="9"/>
        <v>42190</v>
      </c>
      <c r="AF114" s="299"/>
    </row>
    <row r="115" spans="1:32" ht="13.5" thickBot="1" x14ac:dyDescent="0.25">
      <c r="A115" s="300"/>
      <c r="B115" s="299"/>
      <c r="C115" s="299"/>
      <c r="D115" s="301"/>
      <c r="E115" s="301"/>
      <c r="F115" s="302"/>
      <c r="G115" s="360"/>
      <c r="H115" s="360"/>
      <c r="I115" s="360"/>
      <c r="J115" s="360"/>
      <c r="K115" s="360"/>
      <c r="L115" s="360"/>
      <c r="M115" s="360"/>
      <c r="N115" s="360"/>
      <c r="O115" s="360"/>
      <c r="P115" s="360"/>
      <c r="Q115" s="360"/>
      <c r="R115" s="360"/>
      <c r="S115" s="284">
        <f t="shared" si="10"/>
        <v>0</v>
      </c>
      <c r="T115" s="274">
        <f t="shared" ref="T115:T135" ca="1" si="11">U115-$AE$3</f>
        <v>-44382</v>
      </c>
      <c r="U115" s="303"/>
      <c r="V115" s="304"/>
      <c r="W115" s="315"/>
      <c r="X115" s="305"/>
      <c r="Y115" s="305"/>
      <c r="Z115" s="305"/>
      <c r="AA115" s="305"/>
      <c r="AB115" s="305"/>
      <c r="AC115" s="306"/>
      <c r="AD115" s="307"/>
      <c r="AE115" s="278">
        <f t="shared" ca="1" si="9"/>
        <v>42190</v>
      </c>
      <c r="AF115" s="299"/>
    </row>
    <row r="116" spans="1:32" ht="13.5" thickBot="1" x14ac:dyDescent="0.25">
      <c r="A116" s="300"/>
      <c r="B116" s="299"/>
      <c r="C116" s="299"/>
      <c r="D116" s="301"/>
      <c r="E116" s="301"/>
      <c r="F116" s="302"/>
      <c r="G116" s="360"/>
      <c r="H116" s="360"/>
      <c r="I116" s="360"/>
      <c r="J116" s="360"/>
      <c r="K116" s="360"/>
      <c r="L116" s="360"/>
      <c r="M116" s="360"/>
      <c r="N116" s="360"/>
      <c r="O116" s="360"/>
      <c r="P116" s="360"/>
      <c r="Q116" s="360"/>
      <c r="R116" s="360"/>
      <c r="S116" s="284">
        <f t="shared" si="10"/>
        <v>0</v>
      </c>
      <c r="T116" s="274">
        <f t="shared" ca="1" si="11"/>
        <v>-44382</v>
      </c>
      <c r="U116" s="303"/>
      <c r="V116" s="304"/>
      <c r="W116" s="315"/>
      <c r="X116" s="305"/>
      <c r="Y116" s="305"/>
      <c r="Z116" s="305"/>
      <c r="AA116" s="305"/>
      <c r="AB116" s="305"/>
      <c r="AC116" s="306"/>
      <c r="AD116" s="307"/>
      <c r="AE116" s="278">
        <f t="shared" ca="1" si="9"/>
        <v>42190</v>
      </c>
      <c r="AF116" s="299"/>
    </row>
    <row r="117" spans="1:32" ht="13.5" thickBot="1" x14ac:dyDescent="0.25">
      <c r="A117" s="300"/>
      <c r="B117" s="299"/>
      <c r="C117" s="299"/>
      <c r="D117" s="301"/>
      <c r="E117" s="301"/>
      <c r="F117" s="302"/>
      <c r="G117" s="360"/>
      <c r="H117" s="360"/>
      <c r="I117" s="360"/>
      <c r="J117" s="360"/>
      <c r="K117" s="360"/>
      <c r="L117" s="360"/>
      <c r="M117" s="360"/>
      <c r="N117" s="360"/>
      <c r="O117" s="360"/>
      <c r="P117" s="360"/>
      <c r="Q117" s="360"/>
      <c r="R117" s="360"/>
      <c r="S117" s="284">
        <f t="shared" si="10"/>
        <v>0</v>
      </c>
      <c r="T117" s="274">
        <f t="shared" ca="1" si="11"/>
        <v>-44382</v>
      </c>
      <c r="U117" s="303"/>
      <c r="V117" s="304"/>
      <c r="W117" s="315"/>
      <c r="X117" s="305"/>
      <c r="Y117" s="305"/>
      <c r="Z117" s="305"/>
      <c r="AA117" s="305"/>
      <c r="AB117" s="305"/>
      <c r="AC117" s="306"/>
      <c r="AD117" s="307"/>
      <c r="AE117" s="278">
        <f t="shared" ca="1" si="9"/>
        <v>42190</v>
      </c>
      <c r="AF117" s="299"/>
    </row>
    <row r="118" spans="1:32" ht="13.5" thickBot="1" x14ac:dyDescent="0.25">
      <c r="A118" s="300"/>
      <c r="B118" s="299"/>
      <c r="C118" s="299"/>
      <c r="D118" s="301"/>
      <c r="E118" s="301"/>
      <c r="F118" s="302"/>
      <c r="G118" s="360"/>
      <c r="H118" s="360"/>
      <c r="I118" s="360"/>
      <c r="J118" s="360"/>
      <c r="K118" s="360"/>
      <c r="L118" s="360"/>
      <c r="M118" s="360"/>
      <c r="N118" s="360"/>
      <c r="O118" s="360"/>
      <c r="P118" s="360"/>
      <c r="Q118" s="360"/>
      <c r="R118" s="360"/>
      <c r="S118" s="284">
        <f t="shared" si="10"/>
        <v>0</v>
      </c>
      <c r="T118" s="274">
        <f t="shared" ca="1" si="11"/>
        <v>-44382</v>
      </c>
      <c r="U118" s="303"/>
      <c r="V118" s="304"/>
      <c r="W118" s="315"/>
      <c r="X118" s="305"/>
      <c r="Y118" s="305"/>
      <c r="Z118" s="305"/>
      <c r="AA118" s="305"/>
      <c r="AB118" s="305"/>
      <c r="AC118" s="306"/>
      <c r="AD118" s="307"/>
      <c r="AE118" s="278">
        <f t="shared" ca="1" si="9"/>
        <v>42190</v>
      </c>
      <c r="AF118" s="299"/>
    </row>
    <row r="119" spans="1:32" ht="13.5" thickBot="1" x14ac:dyDescent="0.25">
      <c r="A119" s="300"/>
      <c r="B119" s="299"/>
      <c r="C119" s="299"/>
      <c r="D119" s="301"/>
      <c r="E119" s="301"/>
      <c r="F119" s="302"/>
      <c r="G119" s="360"/>
      <c r="H119" s="360"/>
      <c r="I119" s="360"/>
      <c r="J119" s="360"/>
      <c r="K119" s="360"/>
      <c r="L119" s="360"/>
      <c r="M119" s="360"/>
      <c r="N119" s="360"/>
      <c r="O119" s="360"/>
      <c r="P119" s="360"/>
      <c r="Q119" s="360"/>
      <c r="R119" s="360"/>
      <c r="S119" s="284">
        <f t="shared" si="10"/>
        <v>0</v>
      </c>
      <c r="T119" s="274">
        <f t="shared" ca="1" si="11"/>
        <v>-44382</v>
      </c>
      <c r="U119" s="303"/>
      <c r="V119" s="304"/>
      <c r="W119" s="315"/>
      <c r="X119" s="305"/>
      <c r="Y119" s="305"/>
      <c r="Z119" s="305"/>
      <c r="AA119" s="305"/>
      <c r="AB119" s="305"/>
      <c r="AC119" s="306"/>
      <c r="AD119" s="307"/>
      <c r="AE119" s="278">
        <f t="shared" ca="1" si="9"/>
        <v>42190</v>
      </c>
      <c r="AF119" s="299"/>
    </row>
    <row r="120" spans="1:32" ht="13.5" thickBot="1" x14ac:dyDescent="0.25">
      <c r="A120" s="300"/>
      <c r="B120" s="299"/>
      <c r="C120" s="299"/>
      <c r="D120" s="301"/>
      <c r="E120" s="301"/>
      <c r="F120" s="302"/>
      <c r="G120" s="360"/>
      <c r="H120" s="360"/>
      <c r="I120" s="360"/>
      <c r="J120" s="360"/>
      <c r="K120" s="360"/>
      <c r="L120" s="360"/>
      <c r="M120" s="360"/>
      <c r="N120" s="360"/>
      <c r="O120" s="360"/>
      <c r="P120" s="360"/>
      <c r="Q120" s="360"/>
      <c r="R120" s="360"/>
      <c r="S120" s="284">
        <f t="shared" si="10"/>
        <v>0</v>
      </c>
      <c r="T120" s="274">
        <f t="shared" ca="1" si="11"/>
        <v>-44382</v>
      </c>
      <c r="U120" s="303"/>
      <c r="V120" s="304"/>
      <c r="W120" s="315"/>
      <c r="X120" s="305"/>
      <c r="Y120" s="305"/>
      <c r="Z120" s="305"/>
      <c r="AA120" s="305"/>
      <c r="AB120" s="305"/>
      <c r="AC120" s="306"/>
      <c r="AD120" s="307"/>
      <c r="AE120" s="278">
        <f t="shared" ca="1" si="9"/>
        <v>42190</v>
      </c>
      <c r="AF120" s="299"/>
    </row>
    <row r="121" spans="1:32" ht="13.5" thickBot="1" x14ac:dyDescent="0.25">
      <c r="A121" s="300"/>
      <c r="B121" s="299"/>
      <c r="C121" s="299"/>
      <c r="D121" s="301"/>
      <c r="E121" s="301"/>
      <c r="F121" s="302"/>
      <c r="G121" s="360"/>
      <c r="H121" s="360"/>
      <c r="I121" s="360"/>
      <c r="J121" s="360"/>
      <c r="K121" s="360"/>
      <c r="L121" s="360"/>
      <c r="M121" s="360"/>
      <c r="N121" s="360"/>
      <c r="O121" s="360"/>
      <c r="P121" s="360"/>
      <c r="Q121" s="360"/>
      <c r="R121" s="360"/>
      <c r="S121" s="284">
        <f t="shared" si="10"/>
        <v>0</v>
      </c>
      <c r="T121" s="274">
        <f t="shared" ca="1" si="11"/>
        <v>-44382</v>
      </c>
      <c r="U121" s="303"/>
      <c r="V121" s="304"/>
      <c r="W121" s="315"/>
      <c r="X121" s="305"/>
      <c r="Y121" s="305"/>
      <c r="Z121" s="305"/>
      <c r="AA121" s="305"/>
      <c r="AB121" s="305"/>
      <c r="AC121" s="306"/>
      <c r="AD121" s="307"/>
      <c r="AE121" s="278">
        <f t="shared" ca="1" si="9"/>
        <v>42190</v>
      </c>
      <c r="AF121" s="299"/>
    </row>
    <row r="122" spans="1:32" ht="13.5" thickBot="1" x14ac:dyDescent="0.25">
      <c r="A122" s="300"/>
      <c r="B122" s="299"/>
      <c r="C122" s="299"/>
      <c r="D122" s="301"/>
      <c r="E122" s="301"/>
      <c r="F122" s="302"/>
      <c r="G122" s="360"/>
      <c r="H122" s="360"/>
      <c r="I122" s="360"/>
      <c r="J122" s="360"/>
      <c r="K122" s="360"/>
      <c r="L122" s="360"/>
      <c r="M122" s="360"/>
      <c r="N122" s="360"/>
      <c r="O122" s="360"/>
      <c r="P122" s="360"/>
      <c r="Q122" s="360"/>
      <c r="R122" s="360"/>
      <c r="S122" s="284">
        <f t="shared" si="10"/>
        <v>0</v>
      </c>
      <c r="T122" s="274">
        <f t="shared" ca="1" si="11"/>
        <v>-44382</v>
      </c>
      <c r="U122" s="303"/>
      <c r="V122" s="304"/>
      <c r="W122" s="315"/>
      <c r="X122" s="305"/>
      <c r="Y122" s="305"/>
      <c r="Z122" s="305"/>
      <c r="AA122" s="305"/>
      <c r="AB122" s="305"/>
      <c r="AC122" s="306"/>
      <c r="AD122" s="307"/>
      <c r="AE122" s="278">
        <f t="shared" ca="1" si="9"/>
        <v>42190</v>
      </c>
      <c r="AF122" s="299"/>
    </row>
    <row r="123" spans="1:32" ht="13.5" thickBot="1" x14ac:dyDescent="0.25">
      <c r="A123" s="300"/>
      <c r="B123" s="299"/>
      <c r="C123" s="299"/>
      <c r="D123" s="301"/>
      <c r="E123" s="301"/>
      <c r="F123" s="302"/>
      <c r="G123" s="360"/>
      <c r="H123" s="360"/>
      <c r="I123" s="360"/>
      <c r="J123" s="360"/>
      <c r="K123" s="360"/>
      <c r="L123" s="360"/>
      <c r="M123" s="360"/>
      <c r="N123" s="360"/>
      <c r="O123" s="360"/>
      <c r="P123" s="360"/>
      <c r="Q123" s="360"/>
      <c r="R123" s="360"/>
      <c r="S123" s="284">
        <f t="shared" si="10"/>
        <v>0</v>
      </c>
      <c r="T123" s="274">
        <f t="shared" ca="1" si="11"/>
        <v>-44382</v>
      </c>
      <c r="U123" s="303"/>
      <c r="V123" s="304"/>
      <c r="W123" s="315"/>
      <c r="X123" s="305"/>
      <c r="Y123" s="305"/>
      <c r="Z123" s="305"/>
      <c r="AA123" s="305"/>
      <c r="AB123" s="305"/>
      <c r="AC123" s="306"/>
      <c r="AD123" s="307"/>
      <c r="AE123" s="278">
        <f t="shared" ca="1" si="9"/>
        <v>42190</v>
      </c>
      <c r="AF123" s="299"/>
    </row>
    <row r="124" spans="1:32" ht="13.5" thickBot="1" x14ac:dyDescent="0.25">
      <c r="A124" s="300"/>
      <c r="B124" s="299"/>
      <c r="C124" s="299"/>
      <c r="D124" s="301"/>
      <c r="E124" s="301"/>
      <c r="F124" s="302"/>
      <c r="G124" s="284"/>
      <c r="H124" s="284"/>
      <c r="I124" s="284"/>
      <c r="J124" s="284"/>
      <c r="K124" s="284"/>
      <c r="L124" s="284"/>
      <c r="M124" s="284"/>
      <c r="N124" s="284"/>
      <c r="O124" s="284"/>
      <c r="P124" s="284"/>
      <c r="Q124" s="284"/>
      <c r="R124" s="284"/>
      <c r="S124" s="284">
        <f t="shared" si="10"/>
        <v>0</v>
      </c>
      <c r="T124" s="274">
        <f t="shared" ca="1" si="11"/>
        <v>-44382</v>
      </c>
      <c r="U124" s="303"/>
      <c r="V124" s="304"/>
      <c r="W124" s="315"/>
      <c r="X124" s="305"/>
      <c r="Y124" s="305"/>
      <c r="Z124" s="305"/>
      <c r="AA124" s="305"/>
      <c r="AB124" s="305"/>
      <c r="AC124" s="306"/>
      <c r="AD124" s="307"/>
      <c r="AE124" s="278">
        <f t="shared" ca="1" si="9"/>
        <v>42190</v>
      </c>
      <c r="AF124" s="299"/>
    </row>
    <row r="125" spans="1:32" ht="13.5" thickBot="1" x14ac:dyDescent="0.25">
      <c r="A125" s="300"/>
      <c r="B125" s="299"/>
      <c r="C125" s="299"/>
      <c r="D125" s="301"/>
      <c r="E125" s="301"/>
      <c r="F125" s="302"/>
      <c r="G125" s="284"/>
      <c r="H125" s="284"/>
      <c r="I125" s="284"/>
      <c r="J125" s="284"/>
      <c r="K125" s="284"/>
      <c r="L125" s="284"/>
      <c r="M125" s="284"/>
      <c r="N125" s="284"/>
      <c r="O125" s="284"/>
      <c r="P125" s="284"/>
      <c r="Q125" s="284"/>
      <c r="R125" s="284"/>
      <c r="S125" s="284">
        <f t="shared" si="10"/>
        <v>0</v>
      </c>
      <c r="T125" s="274">
        <f t="shared" ca="1" si="11"/>
        <v>-44382</v>
      </c>
      <c r="U125" s="303"/>
      <c r="V125" s="304"/>
      <c r="W125" s="315"/>
      <c r="X125" s="305"/>
      <c r="Y125" s="305"/>
      <c r="Z125" s="305"/>
      <c r="AA125" s="305"/>
      <c r="AB125" s="305"/>
      <c r="AC125" s="306"/>
      <c r="AD125" s="307"/>
      <c r="AE125" s="278">
        <f t="shared" ca="1" si="9"/>
        <v>42190</v>
      </c>
      <c r="AF125" s="299"/>
    </row>
    <row r="126" spans="1:32" ht="13.5" thickBot="1" x14ac:dyDescent="0.25">
      <c r="A126" s="300"/>
      <c r="B126" s="299"/>
      <c r="C126" s="299"/>
      <c r="D126" s="301"/>
      <c r="E126" s="301"/>
      <c r="F126" s="302"/>
      <c r="G126" s="284"/>
      <c r="H126" s="284"/>
      <c r="I126" s="284"/>
      <c r="J126" s="284"/>
      <c r="K126" s="284"/>
      <c r="L126" s="284"/>
      <c r="M126" s="284"/>
      <c r="N126" s="284"/>
      <c r="O126" s="284"/>
      <c r="P126" s="284"/>
      <c r="Q126" s="284"/>
      <c r="R126" s="284"/>
      <c r="S126" s="284">
        <f t="shared" si="10"/>
        <v>0</v>
      </c>
      <c r="T126" s="274">
        <f t="shared" ca="1" si="11"/>
        <v>-44382</v>
      </c>
      <c r="U126" s="303"/>
      <c r="V126" s="304"/>
      <c r="W126" s="315"/>
      <c r="X126" s="305"/>
      <c r="Y126" s="305"/>
      <c r="Z126" s="305"/>
      <c r="AA126" s="305"/>
      <c r="AB126" s="305"/>
      <c r="AC126" s="306"/>
      <c r="AD126" s="307"/>
      <c r="AE126" s="278">
        <f t="shared" ca="1" si="9"/>
        <v>42190</v>
      </c>
      <c r="AF126" s="299"/>
    </row>
    <row r="127" spans="1:32" ht="13.5" thickBot="1" x14ac:dyDescent="0.25">
      <c r="A127" s="300"/>
      <c r="B127" s="299"/>
      <c r="C127" s="299"/>
      <c r="D127" s="301"/>
      <c r="E127" s="301"/>
      <c r="F127" s="302"/>
      <c r="G127" s="284"/>
      <c r="H127" s="284"/>
      <c r="I127" s="284"/>
      <c r="J127" s="284"/>
      <c r="K127" s="284"/>
      <c r="L127" s="284"/>
      <c r="M127" s="284"/>
      <c r="N127" s="284"/>
      <c r="O127" s="284"/>
      <c r="P127" s="284"/>
      <c r="Q127" s="284"/>
      <c r="R127" s="284"/>
      <c r="S127" s="284">
        <f t="shared" si="10"/>
        <v>0</v>
      </c>
      <c r="T127" s="274">
        <f t="shared" ca="1" si="11"/>
        <v>-44382</v>
      </c>
      <c r="U127" s="303"/>
      <c r="V127" s="304"/>
      <c r="W127" s="315"/>
      <c r="X127" s="305"/>
      <c r="Y127" s="305"/>
      <c r="Z127" s="305"/>
      <c r="AA127" s="305"/>
      <c r="AB127" s="305"/>
      <c r="AC127" s="306"/>
      <c r="AD127" s="307"/>
      <c r="AE127" s="278">
        <f t="shared" ca="1" si="9"/>
        <v>42190</v>
      </c>
      <c r="AF127" s="299"/>
    </row>
    <row r="128" spans="1:32" ht="13.5" thickBot="1" x14ac:dyDescent="0.25">
      <c r="A128" s="300"/>
      <c r="B128" s="299"/>
      <c r="C128" s="299"/>
      <c r="D128" s="301"/>
      <c r="E128" s="301"/>
      <c r="F128" s="302"/>
      <c r="G128" s="284"/>
      <c r="H128" s="284"/>
      <c r="I128" s="284"/>
      <c r="J128" s="284"/>
      <c r="K128" s="284"/>
      <c r="L128" s="284"/>
      <c r="M128" s="284"/>
      <c r="N128" s="284"/>
      <c r="O128" s="284"/>
      <c r="P128" s="284"/>
      <c r="Q128" s="284"/>
      <c r="R128" s="284"/>
      <c r="S128" s="284">
        <f t="shared" si="10"/>
        <v>0</v>
      </c>
      <c r="T128" s="274">
        <f t="shared" ca="1" si="11"/>
        <v>-44382</v>
      </c>
      <c r="U128" s="303"/>
      <c r="V128" s="304"/>
      <c r="W128" s="315"/>
      <c r="X128" s="305"/>
      <c r="Y128" s="305"/>
      <c r="Z128" s="305"/>
      <c r="AA128" s="305"/>
      <c r="AB128" s="305"/>
      <c r="AC128" s="306"/>
      <c r="AD128" s="307"/>
      <c r="AE128" s="278">
        <f t="shared" ca="1" si="9"/>
        <v>42190</v>
      </c>
      <c r="AF128" s="299"/>
    </row>
    <row r="129" spans="1:32" ht="13.5" thickBot="1" x14ac:dyDescent="0.25">
      <c r="A129" s="300"/>
      <c r="B129" s="299"/>
      <c r="C129" s="299"/>
      <c r="D129" s="301"/>
      <c r="E129" s="301"/>
      <c r="F129" s="302"/>
      <c r="G129" s="284"/>
      <c r="H129" s="284"/>
      <c r="I129" s="284"/>
      <c r="J129" s="284"/>
      <c r="K129" s="284"/>
      <c r="L129" s="284"/>
      <c r="M129" s="284"/>
      <c r="N129" s="284"/>
      <c r="O129" s="284"/>
      <c r="P129" s="284"/>
      <c r="Q129" s="284"/>
      <c r="R129" s="284"/>
      <c r="S129" s="284">
        <f t="shared" si="10"/>
        <v>0</v>
      </c>
      <c r="T129" s="274">
        <f t="shared" ca="1" si="11"/>
        <v>-44382</v>
      </c>
      <c r="U129" s="303"/>
      <c r="V129" s="304"/>
      <c r="W129" s="315"/>
      <c r="X129" s="305"/>
      <c r="Y129" s="305"/>
      <c r="Z129" s="305"/>
      <c r="AA129" s="305"/>
      <c r="AB129" s="305"/>
      <c r="AC129" s="306"/>
      <c r="AD129" s="307"/>
      <c r="AE129" s="278">
        <f t="shared" ca="1" si="9"/>
        <v>42190</v>
      </c>
      <c r="AF129" s="299"/>
    </row>
    <row r="130" spans="1:32" ht="13.5" thickBot="1" x14ac:dyDescent="0.25">
      <c r="A130" s="300"/>
      <c r="B130" s="299"/>
      <c r="C130" s="299"/>
      <c r="D130" s="301"/>
      <c r="E130" s="301"/>
      <c r="F130" s="302"/>
      <c r="G130" s="284"/>
      <c r="H130" s="284"/>
      <c r="I130" s="284"/>
      <c r="J130" s="284"/>
      <c r="K130" s="284"/>
      <c r="L130" s="284"/>
      <c r="M130" s="284"/>
      <c r="N130" s="284"/>
      <c r="O130" s="284"/>
      <c r="P130" s="284"/>
      <c r="Q130" s="284"/>
      <c r="R130" s="284"/>
      <c r="S130" s="284">
        <f t="shared" si="10"/>
        <v>0</v>
      </c>
      <c r="T130" s="274">
        <f t="shared" ca="1" si="11"/>
        <v>-44382</v>
      </c>
      <c r="U130" s="303"/>
      <c r="V130" s="304"/>
      <c r="W130" s="315"/>
      <c r="X130" s="305"/>
      <c r="Y130" s="305"/>
      <c r="Z130" s="305"/>
      <c r="AA130" s="305"/>
      <c r="AB130" s="305"/>
      <c r="AC130" s="306"/>
      <c r="AD130" s="307"/>
      <c r="AE130" s="278">
        <f t="shared" ca="1" si="9"/>
        <v>42190</v>
      </c>
      <c r="AF130" s="299"/>
    </row>
    <row r="131" spans="1:32" ht="13.5" thickBot="1" x14ac:dyDescent="0.25">
      <c r="A131" s="300"/>
      <c r="B131" s="299"/>
      <c r="C131" s="299"/>
      <c r="D131" s="301"/>
      <c r="E131" s="301"/>
      <c r="F131" s="302"/>
      <c r="G131" s="284"/>
      <c r="H131" s="284"/>
      <c r="I131" s="284"/>
      <c r="J131" s="284"/>
      <c r="K131" s="284"/>
      <c r="L131" s="284"/>
      <c r="M131" s="284"/>
      <c r="N131" s="284"/>
      <c r="O131" s="284"/>
      <c r="P131" s="284"/>
      <c r="Q131" s="284"/>
      <c r="R131" s="284"/>
      <c r="S131" s="284">
        <f t="shared" si="10"/>
        <v>0</v>
      </c>
      <c r="T131" s="274">
        <f t="shared" ca="1" si="11"/>
        <v>-44382</v>
      </c>
      <c r="U131" s="303"/>
      <c r="V131" s="304"/>
      <c r="W131" s="315"/>
      <c r="X131" s="305"/>
      <c r="Y131" s="305"/>
      <c r="Z131" s="305"/>
      <c r="AA131" s="305"/>
      <c r="AB131" s="305"/>
      <c r="AC131" s="306"/>
      <c r="AD131" s="307"/>
      <c r="AE131" s="278">
        <f t="shared" ca="1" si="9"/>
        <v>42190</v>
      </c>
      <c r="AF131" s="299"/>
    </row>
    <row r="132" spans="1:32" ht="13.5" thickBot="1" x14ac:dyDescent="0.25">
      <c r="A132" s="300"/>
      <c r="B132" s="299"/>
      <c r="C132" s="299"/>
      <c r="D132" s="301"/>
      <c r="E132" s="301"/>
      <c r="F132" s="302"/>
      <c r="G132" s="284"/>
      <c r="H132" s="284"/>
      <c r="I132" s="284"/>
      <c r="J132" s="284"/>
      <c r="K132" s="284"/>
      <c r="L132" s="284"/>
      <c r="M132" s="284"/>
      <c r="N132" s="284"/>
      <c r="O132" s="284"/>
      <c r="P132" s="284"/>
      <c r="Q132" s="284"/>
      <c r="R132" s="284"/>
      <c r="S132" s="284">
        <f t="shared" si="10"/>
        <v>0</v>
      </c>
      <c r="T132" s="274">
        <f t="shared" ca="1" si="11"/>
        <v>-44382</v>
      </c>
      <c r="U132" s="303"/>
      <c r="V132" s="304"/>
      <c r="W132" s="315"/>
      <c r="X132" s="305"/>
      <c r="Y132" s="305"/>
      <c r="Z132" s="305"/>
      <c r="AA132" s="305"/>
      <c r="AB132" s="305"/>
      <c r="AC132" s="306"/>
      <c r="AD132" s="307"/>
      <c r="AE132" s="278">
        <f t="shared" ca="1" si="9"/>
        <v>42190</v>
      </c>
      <c r="AF132" s="299"/>
    </row>
    <row r="133" spans="1:32" ht="13.5" thickBot="1" x14ac:dyDescent="0.25">
      <c r="A133" s="300"/>
      <c r="B133" s="299"/>
      <c r="C133" s="299"/>
      <c r="D133" s="301"/>
      <c r="E133" s="301"/>
      <c r="F133" s="302"/>
      <c r="G133" s="284"/>
      <c r="H133" s="284"/>
      <c r="I133" s="284"/>
      <c r="J133" s="284"/>
      <c r="K133" s="284"/>
      <c r="L133" s="284"/>
      <c r="M133" s="284"/>
      <c r="N133" s="284"/>
      <c r="O133" s="284"/>
      <c r="P133" s="284"/>
      <c r="Q133" s="284"/>
      <c r="R133" s="284"/>
      <c r="S133" s="284">
        <f t="shared" si="10"/>
        <v>0</v>
      </c>
      <c r="T133" s="274">
        <f t="shared" ca="1" si="11"/>
        <v>-44382</v>
      </c>
      <c r="U133" s="303"/>
      <c r="V133" s="304"/>
      <c r="W133" s="315"/>
      <c r="X133" s="305"/>
      <c r="Y133" s="305"/>
      <c r="Z133" s="305"/>
      <c r="AA133" s="305"/>
      <c r="AB133" s="305"/>
      <c r="AC133" s="306"/>
      <c r="AD133" s="307"/>
      <c r="AE133" s="278">
        <f t="shared" ca="1" si="9"/>
        <v>42190</v>
      </c>
      <c r="AF133" s="299"/>
    </row>
    <row r="134" spans="1:32" ht="13.5" thickBot="1" x14ac:dyDescent="0.25">
      <c r="A134" s="300"/>
      <c r="B134" s="299"/>
      <c r="C134" s="299"/>
      <c r="D134" s="301"/>
      <c r="E134" s="301"/>
      <c r="F134" s="302"/>
      <c r="G134" s="284"/>
      <c r="H134" s="284"/>
      <c r="I134" s="284"/>
      <c r="J134" s="284"/>
      <c r="K134" s="284"/>
      <c r="L134" s="284"/>
      <c r="M134" s="284"/>
      <c r="N134" s="284"/>
      <c r="O134" s="284"/>
      <c r="P134" s="284"/>
      <c r="Q134" s="284"/>
      <c r="R134" s="284"/>
      <c r="S134" s="284">
        <f t="shared" si="10"/>
        <v>0</v>
      </c>
      <c r="T134" s="274">
        <f t="shared" ca="1" si="11"/>
        <v>-44382</v>
      </c>
      <c r="U134" s="303"/>
      <c r="V134" s="304"/>
      <c r="W134" s="315"/>
      <c r="X134" s="305"/>
      <c r="Y134" s="305"/>
      <c r="Z134" s="305"/>
      <c r="AA134" s="305"/>
      <c r="AB134" s="305"/>
      <c r="AC134" s="306"/>
      <c r="AD134" s="307"/>
      <c r="AE134" s="278">
        <f t="shared" ca="1" si="9"/>
        <v>42190</v>
      </c>
      <c r="AF134" s="299"/>
    </row>
    <row r="135" spans="1:32" x14ac:dyDescent="0.2">
      <c r="A135" s="300"/>
      <c r="B135" s="299"/>
      <c r="C135" s="299"/>
      <c r="D135" s="301"/>
      <c r="E135" s="301"/>
      <c r="F135" s="302"/>
      <c r="G135" s="284"/>
      <c r="H135" s="284"/>
      <c r="I135" s="284"/>
      <c r="J135" s="284"/>
      <c r="K135" s="284"/>
      <c r="L135" s="284"/>
      <c r="M135" s="284"/>
      <c r="N135" s="284"/>
      <c r="O135" s="284"/>
      <c r="P135" s="284"/>
      <c r="Q135" s="284"/>
      <c r="R135" s="284"/>
      <c r="S135" s="284">
        <f t="shared" si="10"/>
        <v>0</v>
      </c>
      <c r="T135" s="274">
        <f t="shared" ca="1" si="11"/>
        <v>-44382</v>
      </c>
      <c r="U135" s="303"/>
      <c r="V135" s="304"/>
      <c r="W135" s="315"/>
      <c r="X135" s="305"/>
      <c r="Y135" s="305"/>
      <c r="Z135" s="305"/>
      <c r="AA135" s="305"/>
      <c r="AB135" s="305"/>
      <c r="AC135" s="306"/>
      <c r="AD135" s="307"/>
      <c r="AE135" s="278">
        <f t="shared" ca="1" si="9"/>
        <v>42190</v>
      </c>
      <c r="AF135" s="299"/>
    </row>
    <row r="140" spans="1:32" x14ac:dyDescent="0.2">
      <c r="D140" s="53" t="s">
        <v>1083</v>
      </c>
      <c r="E140" s="54" t="s">
        <v>1075</v>
      </c>
    </row>
    <row r="141" spans="1:32" x14ac:dyDescent="0.2">
      <c r="D141" s="53" t="s">
        <v>1084</v>
      </c>
      <c r="E141" s="253" t="s">
        <v>1076</v>
      </c>
    </row>
    <row r="142" spans="1:32" x14ac:dyDescent="0.2">
      <c r="D142" s="53" t="s">
        <v>1085</v>
      </c>
      <c r="E142" s="253" t="s">
        <v>1077</v>
      </c>
    </row>
    <row r="143" spans="1:32" x14ac:dyDescent="0.2">
      <c r="D143" s="1" t="s">
        <v>1086</v>
      </c>
      <c r="E143" s="253" t="s">
        <v>1078</v>
      </c>
    </row>
    <row r="144" spans="1:32" x14ac:dyDescent="0.2">
      <c r="D144" s="1" t="s">
        <v>1072</v>
      </c>
      <c r="E144" s="253" t="s">
        <v>1079</v>
      </c>
    </row>
    <row r="145" spans="4:5" x14ac:dyDescent="0.2">
      <c r="D145" s="308" t="s">
        <v>1071</v>
      </c>
      <c r="E145" s="253" t="s">
        <v>1080</v>
      </c>
    </row>
    <row r="146" spans="4:5" x14ac:dyDescent="0.2">
      <c r="D146" s="1" t="s">
        <v>1070</v>
      </c>
      <c r="E146" s="54" t="s">
        <v>1081</v>
      </c>
    </row>
    <row r="147" spans="4:5" x14ac:dyDescent="0.2">
      <c r="E147" s="471" t="s">
        <v>1082</v>
      </c>
    </row>
    <row r="148" spans="4:5" x14ac:dyDescent="0.2">
      <c r="E148" s="253" t="s">
        <v>1100</v>
      </c>
    </row>
  </sheetData>
  <mergeCells count="16">
    <mergeCell ref="V3:W3"/>
    <mergeCell ref="A4:A5"/>
    <mergeCell ref="B4:B5"/>
    <mergeCell ref="C4:C5"/>
    <mergeCell ref="D4:D5"/>
    <mergeCell ref="E4:E5"/>
    <mergeCell ref="F4:F5"/>
    <mergeCell ref="AF4:AF5"/>
    <mergeCell ref="X4:AB4"/>
    <mergeCell ref="G4:S4"/>
    <mergeCell ref="T4:T5"/>
    <mergeCell ref="U4:U5"/>
    <mergeCell ref="V4:V5"/>
    <mergeCell ref="W4:W5"/>
    <mergeCell ref="AC4:AC5"/>
    <mergeCell ref="AD4:AD5"/>
  </mergeCells>
  <conditionalFormatting sqref="AE6">
    <cfRule type="expression" dxfId="3" priority="4" stopIfTrue="1">
      <formula>$AE6&gt;=-120</formula>
    </cfRule>
  </conditionalFormatting>
  <conditionalFormatting sqref="AE7">
    <cfRule type="expression" dxfId="2" priority="3" stopIfTrue="1">
      <formula>$AE7&gt;=-120</formula>
    </cfRule>
  </conditionalFormatting>
  <conditionalFormatting sqref="AE8">
    <cfRule type="expression" dxfId="1" priority="2" stopIfTrue="1">
      <formula>$AE8&gt;=-120</formula>
    </cfRule>
  </conditionalFormatting>
  <conditionalFormatting sqref="AE8">
    <cfRule type="expression" dxfId="0" priority="1" stopIfTrue="1">
      <formula>$AE8&gt;=-120</formula>
    </cfRule>
  </conditionalFormatting>
  <pageMargins left="0.511811024" right="0.511811024" top="0.78740157499999996" bottom="0.78740157499999996" header="0.31496062000000002" footer="0.31496062000000002"/>
  <pageSetup paperSize="9" orientation="portrait" horizontalDpi="300"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159"/>
  <sheetViews>
    <sheetView topLeftCell="F74" zoomScale="89" zoomScaleNormal="89" workbookViewId="0">
      <selection activeCell="S79" sqref="S79"/>
    </sheetView>
  </sheetViews>
  <sheetFormatPr defaultRowHeight="12.75" x14ac:dyDescent="0.2"/>
  <cols>
    <col min="1" max="1" width="16" bestFit="1" customWidth="1"/>
    <col min="2" max="2" width="11.7109375" customWidth="1"/>
    <col min="3" max="3" width="16.85546875" bestFit="1" customWidth="1"/>
    <col min="4" max="4" width="29.140625" customWidth="1"/>
    <col min="5" max="5" width="42.140625" customWidth="1"/>
    <col min="6" max="6" width="18.5703125" bestFit="1" customWidth="1"/>
    <col min="7" max="7" width="14.140625" bestFit="1" customWidth="1"/>
    <col min="8" max="8" width="13" bestFit="1" customWidth="1"/>
    <col min="9" max="18" width="14.140625" bestFit="1" customWidth="1"/>
    <col min="19" max="19" width="18.7109375" style="655" bestFit="1" customWidth="1"/>
    <col min="20" max="20" width="17.5703125" bestFit="1" customWidth="1"/>
    <col min="21" max="21" width="13.85546875" customWidth="1"/>
    <col min="22" max="22" width="37.140625" customWidth="1"/>
    <col min="23" max="23" width="19.5703125" bestFit="1" customWidth="1"/>
    <col min="24" max="25" width="3.28515625" customWidth="1"/>
    <col min="26" max="26" width="2.85546875" customWidth="1"/>
    <col min="27" max="27" width="4.28515625" customWidth="1"/>
    <col min="28" max="28" width="3.140625" customWidth="1"/>
    <col min="29" max="29" width="10.85546875" customWidth="1"/>
    <col min="30" max="30" width="12.85546875" customWidth="1"/>
    <col min="31" max="31" width="15" bestFit="1" customWidth="1"/>
    <col min="32" max="32" width="9.28515625" customWidth="1"/>
  </cols>
  <sheetData>
    <row r="1" spans="1:36" x14ac:dyDescent="0.2">
      <c r="C1" s="540"/>
      <c r="D1" t="s">
        <v>1390</v>
      </c>
    </row>
    <row r="2" spans="1:36" ht="29.25" customHeight="1" x14ac:dyDescent="0.2">
      <c r="C2" s="657"/>
      <c r="D2" s="658" t="s">
        <v>1787</v>
      </c>
      <c r="E2" t="s">
        <v>1498</v>
      </c>
      <c r="T2" s="564"/>
      <c r="U2" s="564"/>
      <c r="V2" s="564"/>
      <c r="AE2" s="489" t="s">
        <v>0</v>
      </c>
    </row>
    <row r="3" spans="1:36" ht="15.75" customHeight="1" thickBot="1" x14ac:dyDescent="0.25">
      <c r="C3" s="541"/>
      <c r="E3" t="s">
        <v>1499</v>
      </c>
      <c r="T3" s="608"/>
      <c r="U3" s="608"/>
      <c r="V3" s="1011" t="s">
        <v>1588</v>
      </c>
      <c r="W3" s="1011"/>
      <c r="AE3" s="490">
        <f ca="1">TODAY()</f>
        <v>44382</v>
      </c>
    </row>
    <row r="4" spans="1:36" ht="14.25" customHeight="1" x14ac:dyDescent="0.2">
      <c r="A4" s="1012" t="s">
        <v>2</v>
      </c>
      <c r="B4" s="1006" t="s">
        <v>3</v>
      </c>
      <c r="C4" s="1006" t="s">
        <v>4</v>
      </c>
      <c r="D4" s="1006" t="s">
        <v>5</v>
      </c>
      <c r="E4" s="1006" t="s">
        <v>6</v>
      </c>
      <c r="F4" s="1006" t="s">
        <v>7</v>
      </c>
      <c r="G4" s="1014" t="s">
        <v>1766</v>
      </c>
      <c r="H4" s="1014"/>
      <c r="I4" s="1014"/>
      <c r="J4" s="1014"/>
      <c r="K4" s="1014"/>
      <c r="L4" s="1014"/>
      <c r="M4" s="1014"/>
      <c r="N4" s="1014"/>
      <c r="O4" s="1014"/>
      <c r="P4" s="1014"/>
      <c r="Q4" s="1014"/>
      <c r="R4" s="1014"/>
      <c r="S4" s="1014"/>
      <c r="T4" s="1006" t="s">
        <v>241</v>
      </c>
      <c r="U4" s="1008" t="s">
        <v>8</v>
      </c>
      <c r="V4" s="1006" t="s">
        <v>9</v>
      </c>
      <c r="W4" s="1006" t="s">
        <v>10</v>
      </c>
      <c r="X4" s="1010" t="s">
        <v>11</v>
      </c>
      <c r="Y4" s="1010"/>
      <c r="Z4" s="1010"/>
      <c r="AA4" s="1010"/>
      <c r="AB4" s="1010"/>
      <c r="AC4" s="1008" t="s">
        <v>1421</v>
      </c>
      <c r="AD4" s="1002" t="s">
        <v>243</v>
      </c>
      <c r="AE4" s="620" t="s">
        <v>820</v>
      </c>
      <c r="AF4" s="1004" t="s">
        <v>15</v>
      </c>
    </row>
    <row r="5" spans="1:36" ht="39.75" customHeight="1" thickBot="1" x14ac:dyDescent="0.25">
      <c r="A5" s="1013"/>
      <c r="B5" s="1007"/>
      <c r="C5" s="1007"/>
      <c r="D5" s="1007"/>
      <c r="E5" s="1007"/>
      <c r="F5" s="1007"/>
      <c r="G5" s="621" t="s">
        <v>822</v>
      </c>
      <c r="H5" s="621" t="s">
        <v>823</v>
      </c>
      <c r="I5" s="621" t="s">
        <v>824</v>
      </c>
      <c r="J5" s="621" t="s">
        <v>825</v>
      </c>
      <c r="K5" s="621" t="s">
        <v>826</v>
      </c>
      <c r="L5" s="621" t="s">
        <v>827</v>
      </c>
      <c r="M5" s="621" t="s">
        <v>828</v>
      </c>
      <c r="N5" s="621" t="s">
        <v>829</v>
      </c>
      <c r="O5" s="621" t="s">
        <v>830</v>
      </c>
      <c r="P5" s="621" t="s">
        <v>831</v>
      </c>
      <c r="Q5" s="621" t="s">
        <v>832</v>
      </c>
      <c r="R5" s="621" t="s">
        <v>833</v>
      </c>
      <c r="S5" s="621" t="s">
        <v>1767</v>
      </c>
      <c r="T5" s="1007"/>
      <c r="U5" s="1009"/>
      <c r="V5" s="1007"/>
      <c r="W5" s="1007"/>
      <c r="X5" s="622" t="s">
        <v>16</v>
      </c>
      <c r="Y5" s="622" t="s">
        <v>17</v>
      </c>
      <c r="Z5" s="622" t="s">
        <v>18</v>
      </c>
      <c r="AA5" s="622" t="s">
        <v>19</v>
      </c>
      <c r="AB5" s="622" t="s">
        <v>20</v>
      </c>
      <c r="AC5" s="1009"/>
      <c r="AD5" s="1003"/>
      <c r="AE5" s="623" t="s">
        <v>244</v>
      </c>
      <c r="AF5" s="1005"/>
    </row>
    <row r="6" spans="1:36" s="311" customFormat="1" ht="25.5" x14ac:dyDescent="0.2">
      <c r="A6" s="675" t="s">
        <v>1288</v>
      </c>
      <c r="B6" s="339" t="s">
        <v>1289</v>
      </c>
      <c r="C6" s="339" t="s">
        <v>1302</v>
      </c>
      <c r="D6" s="340" t="s">
        <v>1291</v>
      </c>
      <c r="E6" s="340" t="s">
        <v>1292</v>
      </c>
      <c r="F6" s="365">
        <v>130089.96</v>
      </c>
      <c r="G6" s="673">
        <v>10840.83</v>
      </c>
      <c r="H6" s="673">
        <v>10840.83</v>
      </c>
      <c r="I6" s="673">
        <v>10840.83</v>
      </c>
      <c r="J6" s="673">
        <v>10840.83</v>
      </c>
      <c r="K6" s="673">
        <v>10840.83</v>
      </c>
      <c r="L6" s="673">
        <v>10840.83</v>
      </c>
      <c r="M6" s="673">
        <v>10840.83</v>
      </c>
      <c r="N6" s="673">
        <v>10840.83</v>
      </c>
      <c r="O6" s="673">
        <v>10840.83</v>
      </c>
      <c r="P6" s="673">
        <v>10840.83</v>
      </c>
      <c r="Q6" s="673">
        <v>10840.83</v>
      </c>
      <c r="R6" s="673">
        <v>10840.83</v>
      </c>
      <c r="S6" s="656">
        <f>SUM(G6:R6)</f>
        <v>130089.96</v>
      </c>
      <c r="T6" s="610">
        <f ca="1">U6-$AE$3</f>
        <v>-1768</v>
      </c>
      <c r="U6" s="611">
        <v>42614</v>
      </c>
      <c r="V6" s="615" t="s">
        <v>1838</v>
      </c>
      <c r="W6" s="612" t="s">
        <v>1301</v>
      </c>
      <c r="X6" s="613"/>
      <c r="Y6" s="613"/>
      <c r="Z6" s="613"/>
      <c r="AA6" s="613"/>
      <c r="AB6" s="613"/>
      <c r="AC6" s="616"/>
      <c r="AD6" s="346">
        <v>41519</v>
      </c>
      <c r="AE6" s="614">
        <f ca="1">TODAY()-DATE(YEAR(AD6)+6,MONTH(AD6),DAY(AD6))</f>
        <v>672</v>
      </c>
      <c r="AF6" s="339" t="s">
        <v>48</v>
      </c>
    </row>
    <row r="7" spans="1:36" s="311" customFormat="1" ht="38.25" x14ac:dyDescent="0.2">
      <c r="A7" s="675" t="s">
        <v>579</v>
      </c>
      <c r="B7" s="339" t="s">
        <v>1353</v>
      </c>
      <c r="C7" s="339" t="s">
        <v>56</v>
      </c>
      <c r="D7" s="340" t="s">
        <v>580</v>
      </c>
      <c r="E7" s="340" t="s">
        <v>581</v>
      </c>
      <c r="F7" s="365" t="s">
        <v>1565</v>
      </c>
      <c r="G7" s="673">
        <v>203.39</v>
      </c>
      <c r="H7" s="673">
        <v>203.39</v>
      </c>
      <c r="I7" s="673">
        <v>203.39</v>
      </c>
      <c r="J7" s="673">
        <v>203.39</v>
      </c>
      <c r="K7" s="673">
        <v>203.39</v>
      </c>
      <c r="L7" s="673">
        <v>203.39</v>
      </c>
      <c r="M7" s="673">
        <v>0</v>
      </c>
      <c r="N7" s="673">
        <v>0</v>
      </c>
      <c r="O7" s="673">
        <v>0</v>
      </c>
      <c r="P7" s="673">
        <v>0</v>
      </c>
      <c r="Q7" s="673">
        <v>0</v>
      </c>
      <c r="R7" s="673">
        <v>0</v>
      </c>
      <c r="S7" s="656">
        <f t="shared" ref="S7:S37" si="0">SUM(G7:R7)</f>
        <v>1220.3399999999999</v>
      </c>
      <c r="T7" s="610">
        <f t="shared" ref="T7:T18" ca="1" si="1">U7-$AE$3</f>
        <v>-2213</v>
      </c>
      <c r="U7" s="611">
        <v>42169</v>
      </c>
      <c r="V7" s="615" t="s">
        <v>1566</v>
      </c>
      <c r="W7" s="612" t="s">
        <v>742</v>
      </c>
      <c r="X7" s="613"/>
      <c r="Y7" s="613"/>
      <c r="Z7" s="613"/>
      <c r="AA7" s="613"/>
      <c r="AB7" s="613"/>
      <c r="AC7" s="616">
        <v>42048</v>
      </c>
      <c r="AD7" s="346">
        <v>39979</v>
      </c>
      <c r="AE7" s="614">
        <f t="shared" ref="AE7:AE17" ca="1" si="2">TODAY()-DATE(YEAR(AD7)+6,MONTH(AD7),DAY(AD7))</f>
        <v>2212</v>
      </c>
      <c r="AF7" s="339" t="s">
        <v>48</v>
      </c>
    </row>
    <row r="8" spans="1:36" s="311" customFormat="1" ht="25.5" x14ac:dyDescent="0.2">
      <c r="A8" s="675" t="s">
        <v>711</v>
      </c>
      <c r="B8" s="339" t="s">
        <v>23</v>
      </c>
      <c r="C8" s="339" t="s">
        <v>61</v>
      </c>
      <c r="D8" s="340" t="s">
        <v>1580</v>
      </c>
      <c r="E8" s="340" t="s">
        <v>712</v>
      </c>
      <c r="F8" s="365" t="s">
        <v>713</v>
      </c>
      <c r="G8" s="673">
        <v>122.8</v>
      </c>
      <c r="H8" s="673">
        <v>483.5</v>
      </c>
      <c r="I8" s="673">
        <v>183.45</v>
      </c>
      <c r="J8" s="673">
        <v>201</v>
      </c>
      <c r="K8" s="673">
        <v>236.75</v>
      </c>
      <c r="L8" s="673">
        <v>1025.5</v>
      </c>
      <c r="M8" s="673">
        <v>631.5</v>
      </c>
      <c r="N8" s="673">
        <v>135.5</v>
      </c>
      <c r="O8" s="673">
        <f>174.5+1375</f>
        <v>1549.5</v>
      </c>
      <c r="P8" s="673">
        <v>236.5</v>
      </c>
      <c r="Q8" s="673">
        <v>5378.1</v>
      </c>
      <c r="R8" s="673">
        <v>367</v>
      </c>
      <c r="S8" s="656">
        <f t="shared" si="0"/>
        <v>10551.1</v>
      </c>
      <c r="T8" s="610">
        <f t="shared" ca="1" si="1"/>
        <v>-1717</v>
      </c>
      <c r="U8" s="611">
        <v>42665</v>
      </c>
      <c r="V8" s="615" t="s">
        <v>1785</v>
      </c>
      <c r="W8" s="612" t="s">
        <v>749</v>
      </c>
      <c r="X8" s="613"/>
      <c r="Y8" s="613"/>
      <c r="Z8" s="613"/>
      <c r="AA8" s="613"/>
      <c r="AB8" s="613"/>
      <c r="AC8" s="616"/>
      <c r="AD8" s="346">
        <v>40473</v>
      </c>
      <c r="AE8" s="614">
        <f t="shared" ca="1" si="2"/>
        <v>1717</v>
      </c>
      <c r="AF8" s="339" t="s">
        <v>48</v>
      </c>
    </row>
    <row r="9" spans="1:36" s="311" customFormat="1" ht="25.5" x14ac:dyDescent="0.2">
      <c r="A9" s="675" t="s">
        <v>628</v>
      </c>
      <c r="B9" s="339" t="s">
        <v>585</v>
      </c>
      <c r="C9" s="339" t="s">
        <v>617</v>
      </c>
      <c r="D9" s="340" t="s">
        <v>44</v>
      </c>
      <c r="E9" s="340" t="s">
        <v>1629</v>
      </c>
      <c r="F9" s="365">
        <v>47516.76</v>
      </c>
      <c r="G9" s="673">
        <v>3959.73</v>
      </c>
      <c r="H9" s="673">
        <v>3959.73</v>
      </c>
      <c r="I9" s="673">
        <v>3959.73</v>
      </c>
      <c r="J9" s="673">
        <v>3959.73</v>
      </c>
      <c r="K9" s="673">
        <v>3959.73</v>
      </c>
      <c r="L9" s="673">
        <v>3959.73</v>
      </c>
      <c r="M9" s="673">
        <v>3959.73</v>
      </c>
      <c r="N9" s="673">
        <v>3959.73</v>
      </c>
      <c r="O9" s="673">
        <v>3959.73</v>
      </c>
      <c r="P9" s="673">
        <v>3959.73</v>
      </c>
      <c r="Q9" s="673">
        <v>3959.73</v>
      </c>
      <c r="R9" s="673">
        <v>3959.73</v>
      </c>
      <c r="S9" s="656">
        <f t="shared" si="0"/>
        <v>47516.760000000009</v>
      </c>
      <c r="T9" s="610">
        <f t="shared" ca="1" si="1"/>
        <v>-2044</v>
      </c>
      <c r="U9" s="611">
        <v>42338</v>
      </c>
      <c r="V9" s="615" t="s">
        <v>1630</v>
      </c>
      <c r="W9" s="612" t="s">
        <v>746</v>
      </c>
      <c r="X9" s="613"/>
      <c r="Y9" s="613"/>
      <c r="Z9" s="613"/>
      <c r="AA9" s="613"/>
      <c r="AB9" s="613"/>
      <c r="AC9" s="616">
        <v>42303</v>
      </c>
      <c r="AD9" s="346">
        <v>40147</v>
      </c>
      <c r="AE9" s="614">
        <f t="shared" ca="1" si="2"/>
        <v>2044</v>
      </c>
      <c r="AF9" s="339" t="s">
        <v>48</v>
      </c>
    </row>
    <row r="10" spans="1:36" s="311" customFormat="1" ht="39" customHeight="1" x14ac:dyDescent="0.2">
      <c r="A10" s="339" t="s">
        <v>658</v>
      </c>
      <c r="B10" s="339" t="s">
        <v>1345</v>
      </c>
      <c r="C10" s="339" t="s">
        <v>56</v>
      </c>
      <c r="D10" s="340" t="s">
        <v>171</v>
      </c>
      <c r="E10" s="340" t="s">
        <v>1473</v>
      </c>
      <c r="F10" s="365" t="s">
        <v>659</v>
      </c>
      <c r="G10" s="673">
        <v>6243.84</v>
      </c>
      <c r="H10" s="673">
        <v>2488.9</v>
      </c>
      <c r="I10" s="673">
        <v>7698.22</v>
      </c>
      <c r="J10" s="673">
        <v>7110.15</v>
      </c>
      <c r="K10" s="673">
        <v>6138.71</v>
      </c>
      <c r="L10" s="673">
        <f>651.56+957.6</f>
        <v>1609.1599999999999</v>
      </c>
      <c r="M10" s="673">
        <v>4712.1099999999997</v>
      </c>
      <c r="N10" s="673">
        <v>897.73</v>
      </c>
      <c r="O10" s="673">
        <f>3940.77+57</f>
        <v>3997.77</v>
      </c>
      <c r="P10" s="673">
        <v>928.2</v>
      </c>
      <c r="Q10" s="673">
        <v>1681.39</v>
      </c>
      <c r="R10" s="673">
        <f>784+4205.13</f>
        <v>4989.13</v>
      </c>
      <c r="S10" s="656">
        <f t="shared" si="0"/>
        <v>48495.30999999999</v>
      </c>
      <c r="T10" s="610">
        <f t="shared" ca="1" si="1"/>
        <v>-2009</v>
      </c>
      <c r="U10" s="611">
        <v>42373</v>
      </c>
      <c r="V10" s="615" t="s">
        <v>1719</v>
      </c>
      <c r="W10" s="612" t="s">
        <v>753</v>
      </c>
      <c r="X10" s="613"/>
      <c r="Y10" s="613"/>
      <c r="Z10" s="613"/>
      <c r="AA10" s="613"/>
      <c r="AB10" s="613"/>
      <c r="AC10" s="642">
        <v>42317</v>
      </c>
      <c r="AD10" s="346">
        <v>40182</v>
      </c>
      <c r="AE10" s="614">
        <f t="shared" ca="1" si="2"/>
        <v>2009</v>
      </c>
      <c r="AF10" s="339" t="s">
        <v>54</v>
      </c>
    </row>
    <row r="11" spans="1:36" s="311" customFormat="1" ht="25.5" x14ac:dyDescent="0.2">
      <c r="A11" s="675" t="s">
        <v>955</v>
      </c>
      <c r="B11" s="339" t="s">
        <v>773</v>
      </c>
      <c r="C11" s="339" t="s">
        <v>772</v>
      </c>
      <c r="D11" s="340" t="s">
        <v>1267</v>
      </c>
      <c r="E11" s="340" t="s">
        <v>1494</v>
      </c>
      <c r="F11" s="365">
        <v>177951.35999999999</v>
      </c>
      <c r="G11" s="673">
        <v>7957.55</v>
      </c>
      <c r="H11" s="673">
        <v>10314.629999999999</v>
      </c>
      <c r="I11" s="673">
        <v>9162.41</v>
      </c>
      <c r="J11" s="673">
        <v>9221.33</v>
      </c>
      <c r="K11" s="673">
        <v>8234.2000000000007</v>
      </c>
      <c r="L11" s="673">
        <v>9169.3700000000008</v>
      </c>
      <c r="M11" s="673">
        <v>9205.1299999999992</v>
      </c>
      <c r="N11" s="673">
        <v>9438.83</v>
      </c>
      <c r="O11" s="673">
        <v>9141.07</v>
      </c>
      <c r="P11" s="673">
        <v>9452.9</v>
      </c>
      <c r="Q11" s="673">
        <v>8084.79</v>
      </c>
      <c r="R11" s="673">
        <v>8884.68</v>
      </c>
      <c r="S11" s="656">
        <f t="shared" si="0"/>
        <v>108266.88999999998</v>
      </c>
      <c r="T11" s="610">
        <f t="shared" ca="1" si="1"/>
        <v>-1970</v>
      </c>
      <c r="U11" s="611">
        <v>42412</v>
      </c>
      <c r="V11" s="615" t="s">
        <v>1780</v>
      </c>
      <c r="W11" s="612" t="s">
        <v>1087</v>
      </c>
      <c r="X11" s="613"/>
      <c r="Y11" s="613"/>
      <c r="Z11" s="613"/>
      <c r="AA11" s="613"/>
      <c r="AB11" s="613"/>
      <c r="AC11" s="616">
        <v>42348</v>
      </c>
      <c r="AD11" s="346">
        <v>40952</v>
      </c>
      <c r="AE11" s="614">
        <f t="shared" ca="1" si="2"/>
        <v>1238</v>
      </c>
      <c r="AF11" s="339" t="s">
        <v>48</v>
      </c>
    </row>
    <row r="12" spans="1:36" s="311" customFormat="1" ht="51" x14ac:dyDescent="0.2">
      <c r="A12" s="641" t="s">
        <v>960</v>
      </c>
      <c r="B12" s="339" t="s">
        <v>1330</v>
      </c>
      <c r="C12" s="339" t="s">
        <v>24</v>
      </c>
      <c r="D12" s="643" t="s">
        <v>961</v>
      </c>
      <c r="E12" s="643" t="s">
        <v>962</v>
      </c>
      <c r="F12" s="365">
        <v>149654.39999999999</v>
      </c>
      <c r="G12" s="673">
        <v>4216.8</v>
      </c>
      <c r="H12" s="673">
        <f>14616+15793.8</f>
        <v>30409.8</v>
      </c>
      <c r="I12" s="673">
        <f>523.2+14355</f>
        <v>14878.2</v>
      </c>
      <c r="J12" s="673">
        <v>14902.8</v>
      </c>
      <c r="K12" s="673">
        <v>14337</v>
      </c>
      <c r="L12" s="673">
        <v>14491.8</v>
      </c>
      <c r="M12" s="673">
        <v>15358.2</v>
      </c>
      <c r="N12" s="673">
        <v>13490.4</v>
      </c>
      <c r="O12" s="673">
        <v>14058</v>
      </c>
      <c r="P12" s="673">
        <v>14071.2</v>
      </c>
      <c r="Q12" s="673">
        <v>14559.6</v>
      </c>
      <c r="R12" s="673">
        <v>13279.2</v>
      </c>
      <c r="S12" s="656">
        <f t="shared" si="0"/>
        <v>178053.00000000003</v>
      </c>
      <c r="T12" s="610">
        <f t="shared" ca="1" si="1"/>
        <v>-1959</v>
      </c>
      <c r="U12" s="611">
        <v>42423</v>
      </c>
      <c r="V12" s="644" t="s">
        <v>1649</v>
      </c>
      <c r="W12" s="645" t="s">
        <v>977</v>
      </c>
      <c r="X12" s="613"/>
      <c r="Y12" s="613"/>
      <c r="Z12" s="613"/>
      <c r="AA12" s="613"/>
      <c r="AB12" s="613"/>
      <c r="AC12" s="642">
        <v>42373</v>
      </c>
      <c r="AD12" s="346">
        <v>40963</v>
      </c>
      <c r="AE12" s="614">
        <f t="shared" ca="1" si="2"/>
        <v>1227</v>
      </c>
      <c r="AF12" s="339" t="s">
        <v>96</v>
      </c>
    </row>
    <row r="13" spans="1:36" s="311" customFormat="1" ht="38.25" x14ac:dyDescent="0.2">
      <c r="A13" s="675" t="s">
        <v>817</v>
      </c>
      <c r="B13" s="339" t="s">
        <v>1347</v>
      </c>
      <c r="C13" s="339" t="s">
        <v>56</v>
      </c>
      <c r="D13" s="340" t="s">
        <v>198</v>
      </c>
      <c r="E13" s="340" t="s">
        <v>1210</v>
      </c>
      <c r="F13" s="365">
        <v>3205.56</v>
      </c>
      <c r="G13" s="673">
        <v>257.64999999999998</v>
      </c>
      <c r="H13" s="673">
        <v>257.64999999999998</v>
      </c>
      <c r="I13" s="673">
        <v>257.64999999999998</v>
      </c>
      <c r="J13" s="673">
        <v>0</v>
      </c>
      <c r="K13" s="673">
        <f>267.13+267.13</f>
        <v>534.26</v>
      </c>
      <c r="L13" s="673">
        <v>267.13</v>
      </c>
      <c r="M13" s="673">
        <v>267.13</v>
      </c>
      <c r="N13" s="673">
        <v>267.13</v>
      </c>
      <c r="O13" s="673">
        <v>267.13</v>
      </c>
      <c r="P13" s="673">
        <v>267.13</v>
      </c>
      <c r="Q13" s="673">
        <v>267.13</v>
      </c>
      <c r="R13" s="673">
        <v>267.13</v>
      </c>
      <c r="S13" s="656">
        <f t="shared" si="0"/>
        <v>3177.1200000000008</v>
      </c>
      <c r="T13" s="610">
        <f t="shared" ca="1" si="1"/>
        <v>-1953</v>
      </c>
      <c r="U13" s="611">
        <v>42429</v>
      </c>
      <c r="V13" s="615" t="s">
        <v>1650</v>
      </c>
      <c r="W13" s="612" t="s">
        <v>735</v>
      </c>
      <c r="X13" s="613"/>
      <c r="Y13" s="613"/>
      <c r="Z13" s="613"/>
      <c r="AA13" s="613"/>
      <c r="AB13" s="613"/>
      <c r="AC13" s="616">
        <v>42373</v>
      </c>
      <c r="AD13" s="346">
        <v>40603</v>
      </c>
      <c r="AE13" s="614">
        <f t="shared" ca="1" si="2"/>
        <v>1587</v>
      </c>
      <c r="AF13" s="339" t="s">
        <v>1348</v>
      </c>
    </row>
    <row r="14" spans="1:36" s="311" customFormat="1" ht="25.5" x14ac:dyDescent="0.2">
      <c r="A14" s="675" t="s">
        <v>583</v>
      </c>
      <c r="B14" s="339" t="s">
        <v>1347</v>
      </c>
      <c r="C14" s="339" t="s">
        <v>61</v>
      </c>
      <c r="D14" s="340" t="s">
        <v>50</v>
      </c>
      <c r="E14" s="340" t="s">
        <v>51</v>
      </c>
      <c r="F14" s="365" t="s">
        <v>1520</v>
      </c>
      <c r="G14" s="673">
        <f>86.5+966.03</f>
        <v>1052.53</v>
      </c>
      <c r="H14" s="673">
        <f>86.5+966.03</f>
        <v>1052.53</v>
      </c>
      <c r="I14" s="673">
        <f>86.5+966.03</f>
        <v>1052.53</v>
      </c>
      <c r="J14" s="673">
        <f>86.5+920.03</f>
        <v>1006.53</v>
      </c>
      <c r="K14" s="673">
        <v>0</v>
      </c>
      <c r="L14" s="673">
        <v>0</v>
      </c>
      <c r="M14" s="673">
        <v>0</v>
      </c>
      <c r="N14" s="673">
        <v>0</v>
      </c>
      <c r="O14" s="673">
        <v>0</v>
      </c>
      <c r="P14" s="673">
        <v>0</v>
      </c>
      <c r="Q14" s="673">
        <v>0</v>
      </c>
      <c r="R14" s="673">
        <v>0</v>
      </c>
      <c r="S14" s="656">
        <f t="shared" si="0"/>
        <v>4164.12</v>
      </c>
      <c r="T14" s="610">
        <f t="shared" ca="1" si="1"/>
        <v>-2266</v>
      </c>
      <c r="U14" s="611">
        <v>42116</v>
      </c>
      <c r="V14" s="615" t="s">
        <v>1521</v>
      </c>
      <c r="W14" s="612" t="s">
        <v>738</v>
      </c>
      <c r="X14" s="613"/>
      <c r="Y14" s="613"/>
      <c r="Z14" s="613"/>
      <c r="AA14" s="613"/>
      <c r="AB14" s="613"/>
      <c r="AC14" s="616">
        <v>41992</v>
      </c>
      <c r="AD14" s="346">
        <v>39926</v>
      </c>
      <c r="AE14" s="614">
        <f t="shared" ca="1" si="2"/>
        <v>2265</v>
      </c>
      <c r="AF14" s="339" t="s">
        <v>54</v>
      </c>
    </row>
    <row r="15" spans="1:36" s="311" customFormat="1" ht="30" customHeight="1" x14ac:dyDescent="0.2">
      <c r="A15" s="339" t="s">
        <v>353</v>
      </c>
      <c r="B15" s="339" t="s">
        <v>23</v>
      </c>
      <c r="C15" s="339" t="s">
        <v>24</v>
      </c>
      <c r="D15" s="340" t="s">
        <v>260</v>
      </c>
      <c r="E15" s="340" t="s">
        <v>26</v>
      </c>
      <c r="F15" s="365" t="s">
        <v>1069</v>
      </c>
      <c r="G15" s="681">
        <v>662.78</v>
      </c>
      <c r="H15" s="681">
        <v>4601.1499999999996</v>
      </c>
      <c r="I15" s="681">
        <v>6954.8</v>
      </c>
      <c r="J15" s="681">
        <v>3925.94</v>
      </c>
      <c r="K15" s="681">
        <v>3206.06</v>
      </c>
      <c r="L15" s="681">
        <v>3018.48</v>
      </c>
      <c r="M15" s="681">
        <v>3915.7</v>
      </c>
      <c r="N15" s="681">
        <v>4503.3</v>
      </c>
      <c r="O15" s="681">
        <v>3518.13</v>
      </c>
      <c r="P15" s="681">
        <v>5403.98</v>
      </c>
      <c r="Q15" s="681">
        <v>5521.79</v>
      </c>
      <c r="R15" s="681">
        <v>0</v>
      </c>
      <c r="S15" s="656">
        <f t="shared" si="0"/>
        <v>45232.109999999993</v>
      </c>
      <c r="T15" s="628">
        <f t="shared" ca="1" si="1"/>
        <v>-2981</v>
      </c>
      <c r="U15" s="611">
        <v>41401</v>
      </c>
      <c r="V15" s="645" t="s">
        <v>355</v>
      </c>
      <c r="W15" s="645" t="s">
        <v>841</v>
      </c>
      <c r="X15" s="613"/>
      <c r="Y15" s="613"/>
      <c r="Z15" s="613"/>
      <c r="AA15" s="613"/>
      <c r="AB15" s="613"/>
      <c r="AC15" s="616">
        <v>41341</v>
      </c>
      <c r="AD15" s="346">
        <v>39576</v>
      </c>
      <c r="AE15" s="614">
        <f t="shared" ca="1" si="2"/>
        <v>2615</v>
      </c>
      <c r="AF15" s="339" t="s">
        <v>29</v>
      </c>
    </row>
    <row r="16" spans="1:36" s="671" customFormat="1" ht="38.25" x14ac:dyDescent="0.2">
      <c r="A16" s="639" t="s">
        <v>23</v>
      </c>
      <c r="B16" s="660" t="s">
        <v>23</v>
      </c>
      <c r="C16" s="639" t="s">
        <v>24</v>
      </c>
      <c r="D16" s="661" t="s">
        <v>303</v>
      </c>
      <c r="E16" s="661" t="s">
        <v>971</v>
      </c>
      <c r="F16" s="684" t="s">
        <v>972</v>
      </c>
      <c r="G16" s="663">
        <v>0</v>
      </c>
      <c r="H16" s="663">
        <v>0</v>
      </c>
      <c r="I16" s="663">
        <v>0</v>
      </c>
      <c r="J16" s="663">
        <v>0</v>
      </c>
      <c r="K16" s="663">
        <v>0</v>
      </c>
      <c r="L16" s="663">
        <v>0</v>
      </c>
      <c r="M16" s="663">
        <v>0</v>
      </c>
      <c r="N16" s="663">
        <v>0</v>
      </c>
      <c r="O16" s="663">
        <v>0</v>
      </c>
      <c r="P16" s="663">
        <v>0</v>
      </c>
      <c r="Q16" s="663">
        <v>0</v>
      </c>
      <c r="R16" s="663">
        <v>0</v>
      </c>
      <c r="S16" s="656">
        <f t="shared" si="0"/>
        <v>0</v>
      </c>
      <c r="T16" s="679">
        <f ca="1">U15-$AE$3</f>
        <v>-2981</v>
      </c>
      <c r="U16" s="664" t="s">
        <v>233</v>
      </c>
      <c r="V16" s="665" t="s">
        <v>970</v>
      </c>
      <c r="W16" s="666" t="s">
        <v>727</v>
      </c>
      <c r="X16" s="667"/>
      <c r="Y16" s="667"/>
      <c r="Z16" s="667"/>
      <c r="AA16" s="667"/>
      <c r="AB16" s="667"/>
      <c r="AC16" s="668"/>
      <c r="AD16" s="669">
        <v>41954</v>
      </c>
      <c r="AE16" s="670">
        <f t="shared" ca="1" si="2"/>
        <v>236</v>
      </c>
      <c r="AF16" s="639" t="s">
        <v>1788</v>
      </c>
      <c r="AG16" s="311"/>
      <c r="AH16" s="311"/>
      <c r="AI16" s="311"/>
      <c r="AJ16" s="311"/>
    </row>
    <row r="17" spans="1:33" s="311" customFormat="1" ht="25.5" x14ac:dyDescent="0.2">
      <c r="A17" s="675" t="s">
        <v>855</v>
      </c>
      <c r="B17" s="339" t="s">
        <v>667</v>
      </c>
      <c r="C17" s="339" t="s">
        <v>772</v>
      </c>
      <c r="D17" s="340" t="s">
        <v>1579</v>
      </c>
      <c r="E17" s="340" t="s">
        <v>857</v>
      </c>
      <c r="F17" s="365" t="s">
        <v>1578</v>
      </c>
      <c r="G17" s="673">
        <f>239.45+937.32</f>
        <v>1176.77</v>
      </c>
      <c r="H17" s="673">
        <f>574.5+942.92</f>
        <v>1517.42</v>
      </c>
      <c r="I17" s="673">
        <f>1224.44+574.5</f>
        <v>1798.94</v>
      </c>
      <c r="J17" s="673">
        <f>1108.43+574.5</f>
        <v>1682.93</v>
      </c>
      <c r="K17" s="673">
        <f>574.5+1061.07</f>
        <v>1635.57</v>
      </c>
      <c r="L17" s="673">
        <f>574.5+1435.41</f>
        <v>2009.91</v>
      </c>
      <c r="M17" s="673">
        <f>1086.4+574.5</f>
        <v>1660.9</v>
      </c>
      <c r="N17" s="673">
        <f>574.5+968.17</f>
        <v>1542.67</v>
      </c>
      <c r="O17" s="673">
        <f>1642</f>
        <v>1642</v>
      </c>
      <c r="P17" s="673">
        <f>574.5+587.33+953.94</f>
        <v>2115.77</v>
      </c>
      <c r="Q17" s="673">
        <f>574.5+1071.48</f>
        <v>1645.98</v>
      </c>
      <c r="R17" s="673">
        <f>979.88+574.5</f>
        <v>1554.38</v>
      </c>
      <c r="S17" s="656">
        <f t="shared" si="0"/>
        <v>19983.240000000002</v>
      </c>
      <c r="T17" s="610">
        <f t="shared" ca="1" si="1"/>
        <v>-1855</v>
      </c>
      <c r="U17" s="611">
        <v>42527</v>
      </c>
      <c r="V17" s="615" t="s">
        <v>1705</v>
      </c>
      <c r="W17" s="612" t="s">
        <v>861</v>
      </c>
      <c r="X17" s="613"/>
      <c r="Y17" s="613"/>
      <c r="Z17" s="613"/>
      <c r="AA17" s="613"/>
      <c r="AB17" s="613"/>
      <c r="AC17" s="616"/>
      <c r="AD17" s="346">
        <v>40701</v>
      </c>
      <c r="AE17" s="614">
        <f t="shared" ca="1" si="2"/>
        <v>1489</v>
      </c>
      <c r="AF17" s="339" t="s">
        <v>48</v>
      </c>
    </row>
    <row r="18" spans="1:33" s="311" customFormat="1" ht="30" customHeight="1" x14ac:dyDescent="0.2">
      <c r="A18" s="674" t="s">
        <v>1089</v>
      </c>
      <c r="B18" s="339" t="s">
        <v>23</v>
      </c>
      <c r="C18" s="339" t="s">
        <v>372</v>
      </c>
      <c r="D18" s="643" t="s">
        <v>1090</v>
      </c>
      <c r="E18" s="643" t="s">
        <v>1091</v>
      </c>
      <c r="F18" s="365">
        <v>0</v>
      </c>
      <c r="G18" s="609">
        <v>0</v>
      </c>
      <c r="H18" s="609">
        <v>0</v>
      </c>
      <c r="I18" s="609">
        <v>0</v>
      </c>
      <c r="J18" s="609">
        <v>0</v>
      </c>
      <c r="K18" s="609">
        <v>0</v>
      </c>
      <c r="L18" s="609">
        <v>0</v>
      </c>
      <c r="M18" s="609">
        <v>0</v>
      </c>
      <c r="N18" s="609">
        <v>0</v>
      </c>
      <c r="O18" s="609">
        <v>0</v>
      </c>
      <c r="P18" s="609">
        <v>0</v>
      </c>
      <c r="Q18" s="609">
        <v>0</v>
      </c>
      <c r="R18" s="609">
        <v>0</v>
      </c>
      <c r="S18" s="656">
        <f t="shared" si="0"/>
        <v>0</v>
      </c>
      <c r="T18" s="610">
        <f t="shared" ca="1" si="1"/>
        <v>-1521</v>
      </c>
      <c r="U18" s="611">
        <v>42861</v>
      </c>
      <c r="V18" s="615" t="s">
        <v>1092</v>
      </c>
      <c r="W18" s="612" t="s">
        <v>1093</v>
      </c>
      <c r="X18" s="613"/>
      <c r="Y18" s="613"/>
      <c r="Z18" s="613"/>
      <c r="AA18" s="613"/>
      <c r="AB18" s="613"/>
      <c r="AC18" s="616"/>
      <c r="AD18" s="346">
        <v>41036</v>
      </c>
      <c r="AE18" s="614">
        <f ca="1">TODAY()-DATE(YEAR(AD18)+5,MONTH(AD18),DAY(AD18))</f>
        <v>1520</v>
      </c>
      <c r="AF18" s="339" t="s">
        <v>96</v>
      </c>
    </row>
    <row r="19" spans="1:33" s="311" customFormat="1" ht="30" customHeight="1" x14ac:dyDescent="0.2">
      <c r="A19" s="674" t="s">
        <v>1065</v>
      </c>
      <c r="B19" s="339" t="s">
        <v>23</v>
      </c>
      <c r="C19" s="339" t="s">
        <v>56</v>
      </c>
      <c r="D19" s="643" t="s">
        <v>1066</v>
      </c>
      <c r="E19" s="643" t="s">
        <v>1067</v>
      </c>
      <c r="F19" s="365" t="s">
        <v>1074</v>
      </c>
      <c r="G19" s="609">
        <v>0</v>
      </c>
      <c r="H19" s="609">
        <v>0</v>
      </c>
      <c r="I19" s="609">
        <v>0</v>
      </c>
      <c r="J19" s="609">
        <v>0</v>
      </c>
      <c r="K19" s="609">
        <v>0</v>
      </c>
      <c r="L19" s="609">
        <v>0</v>
      </c>
      <c r="M19" s="609">
        <v>0</v>
      </c>
      <c r="N19" s="609">
        <v>0</v>
      </c>
      <c r="O19" s="609">
        <v>0</v>
      </c>
      <c r="P19" s="609">
        <v>0</v>
      </c>
      <c r="Q19" s="609">
        <v>0</v>
      </c>
      <c r="R19" s="609">
        <v>0</v>
      </c>
      <c r="S19" s="656">
        <f t="shared" si="0"/>
        <v>0</v>
      </c>
      <c r="T19" s="680"/>
      <c r="U19" s="611" t="s">
        <v>233</v>
      </c>
      <c r="V19" s="615" t="s">
        <v>1068</v>
      </c>
      <c r="W19" s="612" t="s">
        <v>1088</v>
      </c>
      <c r="X19" s="613"/>
      <c r="Y19" s="613"/>
      <c r="Z19" s="613"/>
      <c r="AA19" s="613"/>
      <c r="AB19" s="613"/>
      <c r="AC19" s="616"/>
      <c r="AD19" s="346">
        <v>40998</v>
      </c>
      <c r="AE19" s="614">
        <f t="shared" ref="AE19:AE31" ca="1" si="3">TODAY()-DATE(YEAR(AD19)+5,MONTH(AD19),DAY(AD19))</f>
        <v>1558</v>
      </c>
      <c r="AF19" s="339" t="s">
        <v>41</v>
      </c>
    </row>
    <row r="20" spans="1:33" s="311" customFormat="1" ht="38.25" x14ac:dyDescent="0.2">
      <c r="A20" s="641" t="s">
        <v>23</v>
      </c>
      <c r="B20" s="646" t="s">
        <v>23</v>
      </c>
      <c r="C20" s="339" t="s">
        <v>372</v>
      </c>
      <c r="D20" s="340" t="s">
        <v>1022</v>
      </c>
      <c r="E20" s="643" t="s">
        <v>968</v>
      </c>
      <c r="F20" s="365" t="s">
        <v>972</v>
      </c>
      <c r="G20" s="609">
        <v>0</v>
      </c>
      <c r="H20" s="609">
        <v>0</v>
      </c>
      <c r="I20" s="609">
        <v>0</v>
      </c>
      <c r="J20" s="609">
        <v>0</v>
      </c>
      <c r="K20" s="609">
        <v>0</v>
      </c>
      <c r="L20" s="609">
        <v>0</v>
      </c>
      <c r="M20" s="609">
        <v>0</v>
      </c>
      <c r="N20" s="609">
        <v>0</v>
      </c>
      <c r="O20" s="609">
        <v>0</v>
      </c>
      <c r="P20" s="609">
        <v>0</v>
      </c>
      <c r="Q20" s="609">
        <v>0</v>
      </c>
      <c r="R20" s="609">
        <v>0</v>
      </c>
      <c r="S20" s="656">
        <f t="shared" si="0"/>
        <v>0</v>
      </c>
      <c r="T20" s="680"/>
      <c r="U20" s="611" t="s">
        <v>233</v>
      </c>
      <c r="V20" s="615" t="s">
        <v>969</v>
      </c>
      <c r="W20" s="647" t="s">
        <v>1014</v>
      </c>
      <c r="X20" s="613"/>
      <c r="Y20" s="613"/>
      <c r="Z20" s="613"/>
      <c r="AA20" s="613"/>
      <c r="AB20" s="613"/>
      <c r="AC20" s="616"/>
      <c r="AD20" s="346">
        <v>36819</v>
      </c>
      <c r="AE20" s="614">
        <f t="shared" ca="1" si="3"/>
        <v>5737</v>
      </c>
      <c r="AF20" s="641" t="s">
        <v>54</v>
      </c>
    </row>
    <row r="21" spans="1:33" s="1" customFormat="1" ht="38.25" x14ac:dyDescent="0.2">
      <c r="A21" s="339" t="s">
        <v>790</v>
      </c>
      <c r="B21" s="646" t="s">
        <v>667</v>
      </c>
      <c r="C21" s="339" t="s">
        <v>130</v>
      </c>
      <c r="D21" s="340" t="s">
        <v>1113</v>
      </c>
      <c r="E21" s="340" t="s">
        <v>1532</v>
      </c>
      <c r="F21" s="685">
        <v>0</v>
      </c>
      <c r="G21" s="609">
        <v>0</v>
      </c>
      <c r="H21" s="609">
        <v>0</v>
      </c>
      <c r="I21" s="609">
        <v>0</v>
      </c>
      <c r="J21" s="609">
        <v>0</v>
      </c>
      <c r="K21" s="609">
        <v>0</v>
      </c>
      <c r="L21" s="609">
        <v>0</v>
      </c>
      <c r="M21" s="609">
        <v>0</v>
      </c>
      <c r="N21" s="609">
        <v>0</v>
      </c>
      <c r="O21" s="609">
        <v>0</v>
      </c>
      <c r="P21" s="609">
        <v>0</v>
      </c>
      <c r="Q21" s="609">
        <v>0</v>
      </c>
      <c r="R21" s="609">
        <v>0</v>
      </c>
      <c r="S21" s="656">
        <f t="shared" si="0"/>
        <v>0</v>
      </c>
      <c r="T21" s="610">
        <f t="shared" ref="T21:T38" ca="1" si="4">U21-$AE$3</f>
        <v>-2592</v>
      </c>
      <c r="U21" s="611">
        <v>41790</v>
      </c>
      <c r="V21" s="615" t="s">
        <v>1254</v>
      </c>
      <c r="W21" s="645" t="s">
        <v>1371</v>
      </c>
      <c r="X21" s="648"/>
      <c r="Y21" s="648"/>
      <c r="Z21" s="648"/>
      <c r="AA21" s="648"/>
      <c r="AB21" s="648"/>
      <c r="AC21" s="616">
        <v>41731</v>
      </c>
      <c r="AD21" s="346">
        <v>41061</v>
      </c>
      <c r="AE21" s="614">
        <f t="shared" ca="1" si="3"/>
        <v>1495</v>
      </c>
      <c r="AF21" s="339" t="s">
        <v>1295</v>
      </c>
    </row>
    <row r="22" spans="1:33" s="1" customFormat="1" ht="38.25" x14ac:dyDescent="0.2">
      <c r="A22" s="339" t="s">
        <v>790</v>
      </c>
      <c r="B22" s="646" t="s">
        <v>667</v>
      </c>
      <c r="C22" s="339" t="s">
        <v>130</v>
      </c>
      <c r="D22" s="340" t="s">
        <v>1116</v>
      </c>
      <c r="E22" s="340" t="s">
        <v>1532</v>
      </c>
      <c r="F22" s="685">
        <v>0</v>
      </c>
      <c r="G22" s="609">
        <v>0</v>
      </c>
      <c r="H22" s="609">
        <v>0</v>
      </c>
      <c r="I22" s="609">
        <v>0</v>
      </c>
      <c r="J22" s="609">
        <v>0</v>
      </c>
      <c r="K22" s="609">
        <f>963.16+125.53+1078.54</f>
        <v>2167.23</v>
      </c>
      <c r="L22" s="609">
        <f>122.79+131.4</f>
        <v>254.19</v>
      </c>
      <c r="M22" s="609">
        <v>0</v>
      </c>
      <c r="N22" s="609">
        <v>2495.61</v>
      </c>
      <c r="O22" s="609">
        <v>0</v>
      </c>
      <c r="P22" s="609">
        <v>0</v>
      </c>
      <c r="Q22" s="609">
        <f>1378.95+1735.62</f>
        <v>3114.5699999999997</v>
      </c>
      <c r="R22" s="609">
        <f>4482.35+1459.89</f>
        <v>5942.2400000000007</v>
      </c>
      <c r="S22" s="656">
        <f t="shared" si="0"/>
        <v>13973.84</v>
      </c>
      <c r="T22" s="610">
        <f t="shared" ca="1" si="4"/>
        <v>-2592</v>
      </c>
      <c r="U22" s="611">
        <v>41790</v>
      </c>
      <c r="V22" s="615" t="s">
        <v>1254</v>
      </c>
      <c r="W22" s="645" t="s">
        <v>1363</v>
      </c>
      <c r="X22" s="648"/>
      <c r="Y22" s="648"/>
      <c r="Z22" s="648"/>
      <c r="AA22" s="648"/>
      <c r="AB22" s="648"/>
      <c r="AC22" s="616">
        <v>41731</v>
      </c>
      <c r="AD22" s="346">
        <v>41061</v>
      </c>
      <c r="AE22" s="614">
        <f t="shared" ca="1" si="3"/>
        <v>1495</v>
      </c>
      <c r="AF22" s="339" t="s">
        <v>1295</v>
      </c>
    </row>
    <row r="23" spans="1:33" s="1" customFormat="1" ht="38.25" x14ac:dyDescent="0.2">
      <c r="A23" s="339" t="s">
        <v>790</v>
      </c>
      <c r="B23" s="646" t="s">
        <v>667</v>
      </c>
      <c r="C23" s="339" t="s">
        <v>130</v>
      </c>
      <c r="D23" s="340" t="s">
        <v>1117</v>
      </c>
      <c r="E23" s="340" t="s">
        <v>1532</v>
      </c>
      <c r="F23" s="685">
        <v>0</v>
      </c>
      <c r="G23" s="609">
        <f>1687.59+1798.51</f>
        <v>3486.1</v>
      </c>
      <c r="H23" s="609">
        <v>0</v>
      </c>
      <c r="I23" s="609">
        <v>0</v>
      </c>
      <c r="J23" s="609">
        <v>0</v>
      </c>
      <c r="K23" s="609">
        <v>0</v>
      </c>
      <c r="L23" s="609">
        <v>0</v>
      </c>
      <c r="M23" s="609">
        <v>0</v>
      </c>
      <c r="N23" s="609">
        <v>0</v>
      </c>
      <c r="O23" s="609">
        <v>0</v>
      </c>
      <c r="P23" s="609">
        <f>8782.81+272.3+5363.66+221.68+518.84+164.05</f>
        <v>15323.339999999998</v>
      </c>
      <c r="Q23" s="609">
        <v>0</v>
      </c>
      <c r="R23" s="609">
        <v>0</v>
      </c>
      <c r="S23" s="656">
        <f t="shared" si="0"/>
        <v>18809.439999999999</v>
      </c>
      <c r="T23" s="610">
        <f t="shared" ca="1" si="4"/>
        <v>-2592</v>
      </c>
      <c r="U23" s="611">
        <v>41790</v>
      </c>
      <c r="V23" s="615" t="s">
        <v>1254</v>
      </c>
      <c r="W23" s="645" t="s">
        <v>1364</v>
      </c>
      <c r="X23" s="648"/>
      <c r="Y23" s="648"/>
      <c r="Z23" s="648"/>
      <c r="AA23" s="648"/>
      <c r="AB23" s="648"/>
      <c r="AC23" s="616">
        <v>41731</v>
      </c>
      <c r="AD23" s="346">
        <v>41061</v>
      </c>
      <c r="AE23" s="614">
        <f t="shared" ca="1" si="3"/>
        <v>1495</v>
      </c>
      <c r="AF23" s="339" t="s">
        <v>1295</v>
      </c>
    </row>
    <row r="24" spans="1:33" s="1" customFormat="1" ht="38.25" x14ac:dyDescent="0.2">
      <c r="A24" s="339" t="s">
        <v>790</v>
      </c>
      <c r="B24" s="646" t="s">
        <v>667</v>
      </c>
      <c r="C24" s="339" t="s">
        <v>130</v>
      </c>
      <c r="D24" s="340" t="s">
        <v>1118</v>
      </c>
      <c r="E24" s="340" t="s">
        <v>1532</v>
      </c>
      <c r="F24" s="685">
        <v>0</v>
      </c>
      <c r="G24" s="609">
        <v>0</v>
      </c>
      <c r="H24" s="609">
        <f>6635.07+767.18</f>
        <v>7402.25</v>
      </c>
      <c r="I24" s="609">
        <v>0</v>
      </c>
      <c r="J24" s="609">
        <v>2442.14</v>
      </c>
      <c r="K24" s="609">
        <v>0</v>
      </c>
      <c r="L24" s="609">
        <v>0</v>
      </c>
      <c r="M24" s="609">
        <f>200.62+1456.52+615.21</f>
        <v>2272.35</v>
      </c>
      <c r="N24" s="609">
        <v>1101.8800000000001</v>
      </c>
      <c r="O24" s="609">
        <v>0</v>
      </c>
      <c r="P24" s="609">
        <f>581.08+96.51+233.57+32.21+5198.17</f>
        <v>6141.54</v>
      </c>
      <c r="Q24" s="609">
        <v>0</v>
      </c>
      <c r="R24" s="609">
        <v>0</v>
      </c>
      <c r="S24" s="656">
        <f t="shared" si="0"/>
        <v>19360.16</v>
      </c>
      <c r="T24" s="610">
        <f t="shared" ca="1" si="4"/>
        <v>-2592</v>
      </c>
      <c r="U24" s="611">
        <v>41790</v>
      </c>
      <c r="V24" s="615" t="s">
        <v>1254</v>
      </c>
      <c r="W24" s="645" t="s">
        <v>1368</v>
      </c>
      <c r="X24" s="648"/>
      <c r="Y24" s="648"/>
      <c r="Z24" s="648"/>
      <c r="AA24" s="648"/>
      <c r="AB24" s="648"/>
      <c r="AC24" s="616">
        <v>41731</v>
      </c>
      <c r="AD24" s="346">
        <v>41061</v>
      </c>
      <c r="AE24" s="614">
        <f t="shared" ca="1" si="3"/>
        <v>1495</v>
      </c>
      <c r="AF24" s="339" t="s">
        <v>1295</v>
      </c>
    </row>
    <row r="25" spans="1:33" s="1" customFormat="1" ht="38.25" x14ac:dyDescent="0.2">
      <c r="A25" s="339" t="s">
        <v>790</v>
      </c>
      <c r="B25" s="646" t="s">
        <v>667</v>
      </c>
      <c r="C25" s="339" t="s">
        <v>130</v>
      </c>
      <c r="D25" s="340" t="s">
        <v>1119</v>
      </c>
      <c r="E25" s="340" t="s">
        <v>1532</v>
      </c>
      <c r="F25" s="685">
        <v>0</v>
      </c>
      <c r="G25" s="609">
        <v>0</v>
      </c>
      <c r="H25" s="609">
        <v>0</v>
      </c>
      <c r="I25" s="609">
        <f>254.04+758.16+534.24+666.82</f>
        <v>2213.2600000000002</v>
      </c>
      <c r="J25" s="609">
        <v>0</v>
      </c>
      <c r="K25" s="609">
        <f>264.6+439.54+124.86+207.72</f>
        <v>1036.72</v>
      </c>
      <c r="L25" s="609">
        <f>1525.77+379.08+597.24+127.02</f>
        <v>2629.11</v>
      </c>
      <c r="M25" s="609">
        <f>553.04+6050.8</f>
        <v>6603.84</v>
      </c>
      <c r="N25" s="609">
        <v>308.08999999999997</v>
      </c>
      <c r="O25" s="609">
        <f>560.93+2000+264.37</f>
        <v>2825.2999999999997</v>
      </c>
      <c r="P25" s="609">
        <v>0</v>
      </c>
      <c r="Q25" s="609">
        <f>354.38+27.11+134.9+150.33+318.44+307.19</f>
        <v>1292.3500000000001</v>
      </c>
      <c r="R25" s="609">
        <v>0</v>
      </c>
      <c r="S25" s="656">
        <f t="shared" si="0"/>
        <v>16908.669999999998</v>
      </c>
      <c r="T25" s="610">
        <f t="shared" ca="1" si="4"/>
        <v>-2592</v>
      </c>
      <c r="U25" s="611">
        <v>41790</v>
      </c>
      <c r="V25" s="615" t="s">
        <v>1256</v>
      </c>
      <c r="W25" s="645" t="s">
        <v>1318</v>
      </c>
      <c r="X25" s="648"/>
      <c r="Y25" s="648"/>
      <c r="Z25" s="648"/>
      <c r="AA25" s="648"/>
      <c r="AB25" s="648"/>
      <c r="AC25" s="616">
        <v>41731</v>
      </c>
      <c r="AD25" s="346">
        <v>41061</v>
      </c>
      <c r="AE25" s="614">
        <f t="shared" ca="1" si="3"/>
        <v>1495</v>
      </c>
      <c r="AF25" s="339" t="s">
        <v>1295</v>
      </c>
    </row>
    <row r="26" spans="1:33" s="1" customFormat="1" ht="38.25" x14ac:dyDescent="0.2">
      <c r="A26" s="339" t="s">
        <v>790</v>
      </c>
      <c r="B26" s="646" t="s">
        <v>667</v>
      </c>
      <c r="C26" s="339" t="s">
        <v>130</v>
      </c>
      <c r="D26" s="340" t="s">
        <v>1121</v>
      </c>
      <c r="E26" s="340" t="s">
        <v>1532</v>
      </c>
      <c r="F26" s="685">
        <v>0</v>
      </c>
      <c r="G26" s="609">
        <v>0</v>
      </c>
      <c r="H26" s="609">
        <v>0</v>
      </c>
      <c r="I26" s="609">
        <f>5152.4+47</f>
        <v>5199.3999999999996</v>
      </c>
      <c r="J26" s="609">
        <v>0</v>
      </c>
      <c r="K26" s="609">
        <v>0</v>
      </c>
      <c r="L26" s="609">
        <v>8102</v>
      </c>
      <c r="M26" s="609">
        <v>7509.49</v>
      </c>
      <c r="N26" s="609">
        <f>170.41+233.32+91.37+69.76+140.59+38.71+41.57+257.24</f>
        <v>1042.9700000000003</v>
      </c>
      <c r="O26" s="609">
        <v>363.94</v>
      </c>
      <c r="P26" s="609">
        <f>2249.23+407.86</f>
        <v>2657.09</v>
      </c>
      <c r="Q26" s="609">
        <v>0</v>
      </c>
      <c r="R26" s="609">
        <f>1771.2+1038.43</f>
        <v>2809.63</v>
      </c>
      <c r="S26" s="656">
        <f t="shared" si="0"/>
        <v>27684.52</v>
      </c>
      <c r="T26" s="610">
        <f t="shared" ca="1" si="4"/>
        <v>-2592</v>
      </c>
      <c r="U26" s="611">
        <v>41790</v>
      </c>
      <c r="V26" s="615" t="s">
        <v>1254</v>
      </c>
      <c r="W26" s="645" t="s">
        <v>1367</v>
      </c>
      <c r="X26" s="648"/>
      <c r="Y26" s="648"/>
      <c r="Z26" s="648"/>
      <c r="AA26" s="648"/>
      <c r="AB26" s="648"/>
      <c r="AC26" s="616">
        <v>41731</v>
      </c>
      <c r="AD26" s="346">
        <v>41061</v>
      </c>
      <c r="AE26" s="614">
        <f t="shared" ca="1" si="3"/>
        <v>1495</v>
      </c>
      <c r="AF26" s="339" t="s">
        <v>1295</v>
      </c>
    </row>
    <row r="27" spans="1:33" s="308" customFormat="1" ht="38.25" x14ac:dyDescent="0.2">
      <c r="A27" s="339" t="s">
        <v>790</v>
      </c>
      <c r="B27" s="646" t="s">
        <v>667</v>
      </c>
      <c r="C27" s="339" t="s">
        <v>130</v>
      </c>
      <c r="D27" s="340" t="s">
        <v>1120</v>
      </c>
      <c r="E27" s="340" t="s">
        <v>1532</v>
      </c>
      <c r="F27" s="685">
        <v>0</v>
      </c>
      <c r="G27" s="609">
        <v>0</v>
      </c>
      <c r="H27" s="609">
        <v>0</v>
      </c>
      <c r="I27" s="609">
        <v>0</v>
      </c>
      <c r="J27" s="609">
        <v>0</v>
      </c>
      <c r="K27" s="609">
        <v>0</v>
      </c>
      <c r="L27" s="609">
        <f>118.24+3003.24</f>
        <v>3121.4799999999996</v>
      </c>
      <c r="M27" s="609">
        <f>5427.96+13789.49+12345.22</f>
        <v>31562.67</v>
      </c>
      <c r="N27" s="609">
        <v>0</v>
      </c>
      <c r="O27" s="609">
        <v>0</v>
      </c>
      <c r="P27" s="609">
        <v>0</v>
      </c>
      <c r="Q27" s="609">
        <v>4352.1099999999997</v>
      </c>
      <c r="R27" s="609">
        <v>0</v>
      </c>
      <c r="S27" s="656">
        <f t="shared" si="0"/>
        <v>39036.259999999995</v>
      </c>
      <c r="T27" s="610">
        <f t="shared" ca="1" si="4"/>
        <v>-2592</v>
      </c>
      <c r="U27" s="611">
        <v>41790</v>
      </c>
      <c r="V27" s="615" t="s">
        <v>1254</v>
      </c>
      <c r="W27" s="645" t="s">
        <v>1370</v>
      </c>
      <c r="X27" s="648"/>
      <c r="Y27" s="648"/>
      <c r="Z27" s="648"/>
      <c r="AA27" s="648"/>
      <c r="AB27" s="648"/>
      <c r="AC27" s="616">
        <v>41731</v>
      </c>
      <c r="AD27" s="346">
        <v>41061</v>
      </c>
      <c r="AE27" s="614">
        <f t="shared" ca="1" si="3"/>
        <v>1495</v>
      </c>
      <c r="AF27" s="339" t="s">
        <v>1295</v>
      </c>
    </row>
    <row r="28" spans="1:33" s="308" customFormat="1" ht="38.25" x14ac:dyDescent="0.2">
      <c r="A28" s="339" t="s">
        <v>790</v>
      </c>
      <c r="B28" s="646" t="s">
        <v>667</v>
      </c>
      <c r="C28" s="339" t="s">
        <v>130</v>
      </c>
      <c r="D28" s="340" t="s">
        <v>1122</v>
      </c>
      <c r="E28" s="340" t="s">
        <v>1532</v>
      </c>
      <c r="F28" s="685">
        <v>0</v>
      </c>
      <c r="G28" s="609">
        <f>5358.57+1381.83</f>
        <v>6740.4</v>
      </c>
      <c r="H28" s="609">
        <v>0</v>
      </c>
      <c r="I28" s="609">
        <v>0</v>
      </c>
      <c r="J28" s="609">
        <v>0</v>
      </c>
      <c r="K28" s="609">
        <f>2734.06+2631.77+237+1209+721</f>
        <v>7532.83</v>
      </c>
      <c r="L28" s="609">
        <v>79.66</v>
      </c>
      <c r="M28" s="609">
        <v>0</v>
      </c>
      <c r="N28" s="609">
        <v>0</v>
      </c>
      <c r="O28" s="609">
        <f>213.06+69.51+943.76+1629.92+87.82</f>
        <v>2944.07</v>
      </c>
      <c r="P28" s="609">
        <v>228.9</v>
      </c>
      <c r="Q28" s="609">
        <f>11129.46+1598.68</f>
        <v>12728.14</v>
      </c>
      <c r="R28" s="609">
        <v>0</v>
      </c>
      <c r="S28" s="656">
        <f t="shared" si="0"/>
        <v>30254</v>
      </c>
      <c r="T28" s="610">
        <f t="shared" ca="1" si="4"/>
        <v>-2592</v>
      </c>
      <c r="U28" s="611">
        <v>41790</v>
      </c>
      <c r="V28" s="615" t="s">
        <v>1254</v>
      </c>
      <c r="W28" s="645" t="s">
        <v>1369</v>
      </c>
      <c r="X28" s="648"/>
      <c r="Y28" s="648"/>
      <c r="Z28" s="648"/>
      <c r="AA28" s="648"/>
      <c r="AB28" s="648"/>
      <c r="AC28" s="616">
        <v>41731</v>
      </c>
      <c r="AD28" s="346">
        <v>41061</v>
      </c>
      <c r="AE28" s="614">
        <f t="shared" ca="1" si="3"/>
        <v>1495</v>
      </c>
      <c r="AF28" s="339" t="s">
        <v>1295</v>
      </c>
      <c r="AG28" s="1"/>
    </row>
    <row r="29" spans="1:33" s="308" customFormat="1" ht="38.25" x14ac:dyDescent="0.2">
      <c r="A29" s="339" t="s">
        <v>790</v>
      </c>
      <c r="B29" s="646" t="s">
        <v>667</v>
      </c>
      <c r="C29" s="339" t="s">
        <v>130</v>
      </c>
      <c r="D29" s="340" t="s">
        <v>1505</v>
      </c>
      <c r="E29" s="340" t="s">
        <v>1532</v>
      </c>
      <c r="F29" s="685">
        <v>0</v>
      </c>
      <c r="G29" s="609">
        <v>956.44</v>
      </c>
      <c r="H29" s="609">
        <v>0</v>
      </c>
      <c r="I29" s="609">
        <v>388.18</v>
      </c>
      <c r="J29" s="609">
        <f>714.63+310.38+116.35+2365.5+130.06</f>
        <v>3636.9199999999996</v>
      </c>
      <c r="K29" s="609">
        <f>523.39+1157.83</f>
        <v>1681.2199999999998</v>
      </c>
      <c r="L29" s="609">
        <v>0</v>
      </c>
      <c r="M29" s="609">
        <f>300.7+111.31+230.56</f>
        <v>642.56999999999994</v>
      </c>
      <c r="N29" s="609">
        <v>0</v>
      </c>
      <c r="O29" s="609">
        <f>19.5+138.75+282.65+617.81+247.81</f>
        <v>1306.52</v>
      </c>
      <c r="P29" s="609">
        <f>192.73+1081.05+139.42+146.33+461.95</f>
        <v>2021.48</v>
      </c>
      <c r="Q29" s="609">
        <v>0</v>
      </c>
      <c r="R29" s="609">
        <v>962.8</v>
      </c>
      <c r="S29" s="656">
        <f t="shared" si="0"/>
        <v>11596.13</v>
      </c>
      <c r="T29" s="610">
        <f t="shared" ca="1" si="4"/>
        <v>-2592</v>
      </c>
      <c r="U29" s="611">
        <v>41790</v>
      </c>
      <c r="V29" s="615" t="s">
        <v>1254</v>
      </c>
      <c r="W29" s="645" t="s">
        <v>1366</v>
      </c>
      <c r="X29" s="648"/>
      <c r="Y29" s="648"/>
      <c r="Z29" s="648"/>
      <c r="AA29" s="648"/>
      <c r="AB29" s="648"/>
      <c r="AC29" s="616">
        <v>41731</v>
      </c>
      <c r="AD29" s="346">
        <v>41061</v>
      </c>
      <c r="AE29" s="614">
        <f t="shared" ca="1" si="3"/>
        <v>1495</v>
      </c>
      <c r="AF29" s="339" t="s">
        <v>1295</v>
      </c>
    </row>
    <row r="30" spans="1:33" s="308" customFormat="1" ht="38.25" x14ac:dyDescent="0.2">
      <c r="A30" s="339" t="s">
        <v>790</v>
      </c>
      <c r="B30" s="646" t="s">
        <v>667</v>
      </c>
      <c r="C30" s="339" t="s">
        <v>130</v>
      </c>
      <c r="D30" s="340" t="s">
        <v>1125</v>
      </c>
      <c r="E30" s="340" t="s">
        <v>1532</v>
      </c>
      <c r="F30" s="685">
        <v>0</v>
      </c>
      <c r="G30" s="609">
        <f>237.26+381.65+378.64+301.76+5079.57</f>
        <v>6378.8799999999992</v>
      </c>
      <c r="H30" s="609">
        <f>1164.59+206.31</f>
        <v>1370.8999999999999</v>
      </c>
      <c r="I30" s="609">
        <f>119.06+2418</f>
        <v>2537.06</v>
      </c>
      <c r="J30" s="609">
        <f>41.12</f>
        <v>41.12</v>
      </c>
      <c r="K30" s="609">
        <f>187.72+355.4+28.83+186.25+2896.82+340.35+150.01+120</f>
        <v>4265.38</v>
      </c>
      <c r="L30" s="609">
        <f>577.48+657.79+546.76+724.2+3149.58+3183.68</f>
        <v>8839.49</v>
      </c>
      <c r="M30" s="609">
        <f>890.81+433.68+256.33+151.8+320.23+3099.65+768.26+801.82+22.39</f>
        <v>6744.97</v>
      </c>
      <c r="N30" s="609">
        <f>3826.09+14538.05+907.98+596.47+5270.36</f>
        <v>25138.95</v>
      </c>
      <c r="O30" s="609">
        <f>1754.01+6863.99+3936.37</f>
        <v>12554.369999999999</v>
      </c>
      <c r="P30" s="609">
        <f>1601.33+2109.42</f>
        <v>3710.75</v>
      </c>
      <c r="Q30" s="609">
        <f>342.28+143.53+237.26+531.21</f>
        <v>1254.28</v>
      </c>
      <c r="R30" s="609">
        <v>938.63</v>
      </c>
      <c r="S30" s="656">
        <f t="shared" si="0"/>
        <v>73774.78</v>
      </c>
      <c r="T30" s="610">
        <f t="shared" ca="1" si="4"/>
        <v>-2957</v>
      </c>
      <c r="U30" s="611">
        <v>41425</v>
      </c>
      <c r="V30" s="615" t="s">
        <v>1115</v>
      </c>
      <c r="W30" s="645" t="s">
        <v>1372</v>
      </c>
      <c r="X30" s="648"/>
      <c r="Y30" s="648"/>
      <c r="Z30" s="648"/>
      <c r="AA30" s="648"/>
      <c r="AB30" s="648"/>
      <c r="AC30" s="616">
        <v>41731</v>
      </c>
      <c r="AD30" s="346">
        <v>41061</v>
      </c>
      <c r="AE30" s="614">
        <f t="shared" ca="1" si="3"/>
        <v>1495</v>
      </c>
      <c r="AF30" s="339" t="s">
        <v>1295</v>
      </c>
    </row>
    <row r="31" spans="1:33" s="308" customFormat="1" ht="38.25" x14ac:dyDescent="0.2">
      <c r="A31" s="339" t="s">
        <v>1126</v>
      </c>
      <c r="B31" s="339" t="s">
        <v>1353</v>
      </c>
      <c r="C31" s="339" t="s">
        <v>56</v>
      </c>
      <c r="D31" s="340" t="s">
        <v>1127</v>
      </c>
      <c r="E31" s="340" t="s">
        <v>1128</v>
      </c>
      <c r="F31" s="365">
        <v>7620.52</v>
      </c>
      <c r="G31" s="609">
        <v>540.79999999999995</v>
      </c>
      <c r="H31" s="609">
        <v>655</v>
      </c>
      <c r="I31" s="609">
        <v>633.4</v>
      </c>
      <c r="J31" s="609">
        <v>511.6</v>
      </c>
      <c r="K31" s="609">
        <v>516.6</v>
      </c>
      <c r="L31" s="609">
        <v>805</v>
      </c>
      <c r="M31" s="609">
        <v>789.2</v>
      </c>
      <c r="N31" s="609">
        <v>627.54</v>
      </c>
      <c r="O31" s="609">
        <v>613.77</v>
      </c>
      <c r="P31" s="609">
        <v>597.37</v>
      </c>
      <c r="Q31" s="609">
        <v>646.57000000000005</v>
      </c>
      <c r="R31" s="609">
        <v>592.78</v>
      </c>
      <c r="S31" s="656">
        <f t="shared" si="0"/>
        <v>7529.6299999999992</v>
      </c>
      <c r="T31" s="610">
        <f t="shared" ca="1" si="4"/>
        <v>-1840</v>
      </c>
      <c r="U31" s="611">
        <v>42542</v>
      </c>
      <c r="V31" s="615" t="s">
        <v>1726</v>
      </c>
      <c r="W31" s="612" t="s">
        <v>750</v>
      </c>
      <c r="X31" s="648"/>
      <c r="Y31" s="648"/>
      <c r="Z31" s="648"/>
      <c r="AA31" s="648"/>
      <c r="AB31" s="648"/>
      <c r="AC31" s="616"/>
      <c r="AD31" s="346">
        <v>41082</v>
      </c>
      <c r="AE31" s="614">
        <f t="shared" ca="1" si="3"/>
        <v>1474</v>
      </c>
      <c r="AF31" s="339" t="s">
        <v>96</v>
      </c>
    </row>
    <row r="32" spans="1:33" s="541" customFormat="1" ht="51" x14ac:dyDescent="0.2">
      <c r="A32" s="339" t="s">
        <v>1155</v>
      </c>
      <c r="B32" s="339" t="s">
        <v>1154</v>
      </c>
      <c r="C32" s="339" t="s">
        <v>613</v>
      </c>
      <c r="D32" s="340" t="s">
        <v>1050</v>
      </c>
      <c r="E32" s="340" t="s">
        <v>1209</v>
      </c>
      <c r="F32" s="365">
        <v>100705.2</v>
      </c>
      <c r="G32" s="609">
        <v>7642.71</v>
      </c>
      <c r="H32" s="609">
        <f>470.03</f>
        <v>470.03</v>
      </c>
      <c r="I32" s="609">
        <v>0</v>
      </c>
      <c r="J32" s="609">
        <f>7642.71+7642.72+382.14+342.14+40</f>
        <v>16049.71</v>
      </c>
      <c r="K32" s="609">
        <v>0</v>
      </c>
      <c r="L32" s="609">
        <f>7624.71+7642.71+7642.72</f>
        <v>22910.14</v>
      </c>
      <c r="M32" s="609">
        <f>18+7642.71</f>
        <v>7660.71</v>
      </c>
      <c r="N32" s="609">
        <v>0</v>
      </c>
      <c r="O32" s="609">
        <v>7642.71</v>
      </c>
      <c r="P32" s="609">
        <v>0</v>
      </c>
      <c r="Q32" s="609">
        <v>0</v>
      </c>
      <c r="R32" s="609">
        <v>0</v>
      </c>
      <c r="S32" s="656">
        <f t="shared" si="0"/>
        <v>62376.009999999995</v>
      </c>
      <c r="T32" s="610">
        <f t="shared" ca="1" si="4"/>
        <v>-1784</v>
      </c>
      <c r="U32" s="611">
        <v>42598</v>
      </c>
      <c r="V32" s="345" t="s">
        <v>1791</v>
      </c>
      <c r="W32" s="612" t="s">
        <v>731</v>
      </c>
      <c r="X32" s="613"/>
      <c r="Y32" s="613"/>
      <c r="Z32" s="613"/>
      <c r="AA32" s="613"/>
      <c r="AB32" s="613"/>
      <c r="AC32" s="616"/>
      <c r="AD32" s="346">
        <v>41138</v>
      </c>
      <c r="AE32" s="614">
        <f ca="1">TODAY()-DATE(YEAR(AD32)+6,MONTH(AD32),DAY(AD32))</f>
        <v>1053</v>
      </c>
      <c r="AF32" s="339" t="s">
        <v>169</v>
      </c>
    </row>
    <row r="33" spans="1:33" s="541" customFormat="1" ht="24.75" customHeight="1" x14ac:dyDescent="0.2">
      <c r="A33" s="339" t="s">
        <v>215</v>
      </c>
      <c r="B33" s="339" t="s">
        <v>23</v>
      </c>
      <c r="C33" s="339" t="s">
        <v>24</v>
      </c>
      <c r="D33" s="340" t="s">
        <v>216</v>
      </c>
      <c r="E33" s="340" t="s">
        <v>1389</v>
      </c>
      <c r="F33" s="365" t="s">
        <v>375</v>
      </c>
      <c r="G33" s="609">
        <v>406.9</v>
      </c>
      <c r="H33" s="609">
        <v>176.8</v>
      </c>
      <c r="I33" s="609">
        <v>88.4</v>
      </c>
      <c r="J33" s="609">
        <v>234</v>
      </c>
      <c r="K33" s="609">
        <v>74.099999999999994</v>
      </c>
      <c r="L33" s="609">
        <v>252.2</v>
      </c>
      <c r="M33" s="609">
        <v>198.9</v>
      </c>
      <c r="N33" s="609">
        <v>494</v>
      </c>
      <c r="O33" s="609">
        <v>330.2</v>
      </c>
      <c r="P33" s="609">
        <v>325</v>
      </c>
      <c r="Q33" s="609">
        <v>257.39999999999998</v>
      </c>
      <c r="R33" s="609">
        <v>338.52</v>
      </c>
      <c r="S33" s="656">
        <f t="shared" si="0"/>
        <v>3176.42</v>
      </c>
      <c r="T33" s="610">
        <f t="shared" ca="1" si="4"/>
        <v>-1353</v>
      </c>
      <c r="U33" s="611">
        <v>43029</v>
      </c>
      <c r="V33" s="615" t="s">
        <v>1157</v>
      </c>
      <c r="W33" s="612" t="s">
        <v>757</v>
      </c>
      <c r="X33" s="613"/>
      <c r="Y33" s="613"/>
      <c r="Z33" s="613"/>
      <c r="AA33" s="613"/>
      <c r="AB33" s="613"/>
      <c r="AC33" s="616"/>
      <c r="AD33" s="346">
        <v>41204</v>
      </c>
      <c r="AE33" s="614">
        <f ca="1">TODAY()-DATE(YEAR(AD33)+6,MONTH(AD33),DAY(AD33))</f>
        <v>987</v>
      </c>
      <c r="AF33" s="339" t="s">
        <v>169</v>
      </c>
    </row>
    <row r="34" spans="1:33" s="311" customFormat="1" ht="38.25" x14ac:dyDescent="0.2">
      <c r="A34" s="675" t="s">
        <v>1158</v>
      </c>
      <c r="B34" s="339" t="s">
        <v>590</v>
      </c>
      <c r="C34" s="339"/>
      <c r="D34" s="340" t="s">
        <v>1423</v>
      </c>
      <c r="E34" s="340" t="s">
        <v>1160</v>
      </c>
      <c r="F34" s="365">
        <v>13598.16</v>
      </c>
      <c r="G34" s="609">
        <v>1542.68</v>
      </c>
      <c r="H34" s="609">
        <v>1396.26</v>
      </c>
      <c r="I34" s="609">
        <v>1502.26</v>
      </c>
      <c r="J34" s="609">
        <v>1626.09</v>
      </c>
      <c r="K34" s="609">
        <v>1351.5</v>
      </c>
      <c r="L34" s="609">
        <v>1691.08</v>
      </c>
      <c r="M34" s="609">
        <v>1524.4</v>
      </c>
      <c r="N34" s="609">
        <v>2130.1999999999998</v>
      </c>
      <c r="O34" s="609">
        <v>2345.8000000000002</v>
      </c>
      <c r="P34" s="609">
        <v>1899.38</v>
      </c>
      <c r="Q34" s="609">
        <v>1915.46</v>
      </c>
      <c r="R34" s="609">
        <v>2341.9499999999998</v>
      </c>
      <c r="S34" s="656">
        <f t="shared" si="0"/>
        <v>21267.059999999998</v>
      </c>
      <c r="T34" s="610">
        <f t="shared" ca="1" si="4"/>
        <v>-1735</v>
      </c>
      <c r="U34" s="611">
        <v>42647</v>
      </c>
      <c r="V34" s="615" t="s">
        <v>1765</v>
      </c>
      <c r="W34" s="612" t="s">
        <v>1394</v>
      </c>
      <c r="X34" s="613"/>
      <c r="Y34" s="613"/>
      <c r="Z34" s="613"/>
      <c r="AA34" s="613"/>
      <c r="AB34" s="613"/>
      <c r="AC34" s="616"/>
      <c r="AD34" s="346">
        <v>41186</v>
      </c>
      <c r="AE34" s="614">
        <f t="shared" ref="AE34:AE58" ca="1" si="5">TODAY()-DATE(YEAR(AD34)+6,MONTH(AD34),DAY(AD34))</f>
        <v>1005</v>
      </c>
      <c r="AF34" s="339" t="s">
        <v>48</v>
      </c>
    </row>
    <row r="35" spans="1:33" s="541" customFormat="1" ht="76.5" x14ac:dyDescent="0.2">
      <c r="A35" s="339" t="s">
        <v>1174</v>
      </c>
      <c r="B35" s="339" t="s">
        <v>23</v>
      </c>
      <c r="C35" s="339"/>
      <c r="D35" s="340" t="s">
        <v>1768</v>
      </c>
      <c r="E35" s="340" t="s">
        <v>1534</v>
      </c>
      <c r="F35" s="365">
        <v>131897.70000000001</v>
      </c>
      <c r="G35" s="609">
        <f>2821.58+1967.65</f>
        <v>4789.2299999999996</v>
      </c>
      <c r="H35" s="609">
        <f>2313.38+3059.43</f>
        <v>5372.8099999999995</v>
      </c>
      <c r="I35" s="609">
        <f>3008.84+3051.72</f>
        <v>6060.5599999999995</v>
      </c>
      <c r="J35" s="609">
        <f>2960.03+3293.98</f>
        <v>6254.01</v>
      </c>
      <c r="K35" s="609">
        <f>2687.08+2124.91</f>
        <v>4811.99</v>
      </c>
      <c r="L35" s="609">
        <f>2857.48+2833.18</f>
        <v>5690.66</v>
      </c>
      <c r="M35" s="609">
        <f>2934.08+4043.6</f>
        <v>6977.68</v>
      </c>
      <c r="N35" s="609">
        <f>2920.43+3165.44</f>
        <v>6085.87</v>
      </c>
      <c r="O35" s="609">
        <f>2718.26+2874.51</f>
        <v>5592.77</v>
      </c>
      <c r="P35" s="609">
        <f>3255.33+3947.94</f>
        <v>7203.27</v>
      </c>
      <c r="Q35" s="609">
        <f>3582.67+2962.92</f>
        <v>6545.59</v>
      </c>
      <c r="R35" s="609">
        <f>2944.18+3667.26</f>
        <v>6611.4400000000005</v>
      </c>
      <c r="S35" s="656">
        <f t="shared" si="0"/>
        <v>71995.88</v>
      </c>
      <c r="T35" s="610">
        <f t="shared" ca="1" si="4"/>
        <v>-1710</v>
      </c>
      <c r="U35" s="611">
        <v>42672</v>
      </c>
      <c r="V35" s="615" t="s">
        <v>1781</v>
      </c>
      <c r="W35" s="612" t="s">
        <v>1397</v>
      </c>
      <c r="X35" s="613"/>
      <c r="Y35" s="613"/>
      <c r="Z35" s="613"/>
      <c r="AA35" s="613"/>
      <c r="AB35" s="613"/>
      <c r="AC35" s="616"/>
      <c r="AD35" s="346">
        <v>41212</v>
      </c>
      <c r="AE35" s="614">
        <f t="shared" ca="1" si="5"/>
        <v>979</v>
      </c>
      <c r="AF35" s="339" t="s">
        <v>48</v>
      </c>
    </row>
    <row r="36" spans="1:33" s="541" customFormat="1" ht="51.75" customHeight="1" x14ac:dyDescent="0.2">
      <c r="A36" s="339" t="s">
        <v>790</v>
      </c>
      <c r="B36" s="339" t="s">
        <v>23</v>
      </c>
      <c r="C36" s="339" t="s">
        <v>130</v>
      </c>
      <c r="D36" s="340" t="s">
        <v>1181</v>
      </c>
      <c r="E36" s="340" t="s">
        <v>1535</v>
      </c>
      <c r="F36" s="365" t="s">
        <v>314</v>
      </c>
      <c r="G36" s="609">
        <v>0</v>
      </c>
      <c r="H36" s="609">
        <v>0</v>
      </c>
      <c r="I36" s="609">
        <v>0</v>
      </c>
      <c r="J36" s="609">
        <v>0</v>
      </c>
      <c r="K36" s="609">
        <v>0</v>
      </c>
      <c r="L36" s="609">
        <v>0</v>
      </c>
      <c r="M36" s="609">
        <v>0</v>
      </c>
      <c r="N36" s="609">
        <v>0</v>
      </c>
      <c r="O36" s="609">
        <v>0</v>
      </c>
      <c r="P36" s="609">
        <v>0</v>
      </c>
      <c r="Q36" s="609">
        <v>0</v>
      </c>
      <c r="R36" s="609">
        <v>0</v>
      </c>
      <c r="S36" s="656">
        <f t="shared" si="0"/>
        <v>0</v>
      </c>
      <c r="T36" s="628">
        <f t="shared" ca="1" si="4"/>
        <v>-2821</v>
      </c>
      <c r="U36" s="611">
        <v>41561</v>
      </c>
      <c r="V36" s="615" t="s">
        <v>1536</v>
      </c>
      <c r="W36" s="612" t="s">
        <v>1398</v>
      </c>
      <c r="X36" s="613"/>
      <c r="Y36" s="613"/>
      <c r="Z36" s="613"/>
      <c r="AA36" s="613"/>
      <c r="AB36" s="613"/>
      <c r="AC36" s="616">
        <v>41512</v>
      </c>
      <c r="AD36" s="346">
        <v>41197</v>
      </c>
      <c r="AE36" s="614">
        <f t="shared" ca="1" si="5"/>
        <v>994</v>
      </c>
      <c r="AF36" s="339" t="s">
        <v>201</v>
      </c>
      <c r="AG36" s="308"/>
    </row>
    <row r="37" spans="1:33" s="308" customFormat="1" ht="51" x14ac:dyDescent="0.2">
      <c r="A37" s="339" t="s">
        <v>1201</v>
      </c>
      <c r="B37" s="619" t="s">
        <v>1321</v>
      </c>
      <c r="C37" s="339" t="s">
        <v>617</v>
      </c>
      <c r="D37" s="340" t="s">
        <v>1202</v>
      </c>
      <c r="E37" s="340" t="s">
        <v>1476</v>
      </c>
      <c r="F37" s="365">
        <v>6611.04</v>
      </c>
      <c r="G37" s="609">
        <v>515.83000000000004</v>
      </c>
      <c r="H37" s="609">
        <v>0</v>
      </c>
      <c r="I37" s="609">
        <v>515.83000000000004</v>
      </c>
      <c r="J37" s="609">
        <v>515.83000000000004</v>
      </c>
      <c r="K37" s="609">
        <v>505.51</v>
      </c>
      <c r="L37" s="609">
        <v>515.83000000000004</v>
      </c>
      <c r="M37" s="609">
        <v>515.83000000000004</v>
      </c>
      <c r="N37" s="609">
        <v>0</v>
      </c>
      <c r="O37" s="609">
        <f>550.92+550.92</f>
        <v>1101.8399999999999</v>
      </c>
      <c r="P37" s="609">
        <v>0</v>
      </c>
      <c r="Q37" s="609">
        <v>539.9</v>
      </c>
      <c r="R37" s="609">
        <v>550.91999999999996</v>
      </c>
      <c r="S37" s="656">
        <f t="shared" si="0"/>
        <v>5277.32</v>
      </c>
      <c r="T37" s="610">
        <f t="shared" ca="1" si="4"/>
        <v>-1804</v>
      </c>
      <c r="U37" s="611">
        <v>42578</v>
      </c>
      <c r="V37" s="615" t="s">
        <v>1727</v>
      </c>
      <c r="W37" s="612" t="s">
        <v>1322</v>
      </c>
      <c r="X37" s="613"/>
      <c r="Y37" s="613"/>
      <c r="Z37" s="613"/>
      <c r="AA37" s="613"/>
      <c r="AB37" s="613"/>
      <c r="AC37" s="616"/>
      <c r="AD37" s="346">
        <v>41302</v>
      </c>
      <c r="AE37" s="614">
        <f t="shared" ca="1" si="5"/>
        <v>889</v>
      </c>
      <c r="AF37" s="339" t="s">
        <v>96</v>
      </c>
    </row>
    <row r="38" spans="1:33" s="683" customFormat="1" ht="25.5" x14ac:dyDescent="0.2">
      <c r="A38" s="675" t="s">
        <v>1391</v>
      </c>
      <c r="B38" s="339"/>
      <c r="C38" s="339"/>
      <c r="D38" s="340" t="s">
        <v>1228</v>
      </c>
      <c r="E38" s="340" t="s">
        <v>1229</v>
      </c>
      <c r="F38" s="365">
        <v>4788</v>
      </c>
      <c r="G38" s="609">
        <v>399</v>
      </c>
      <c r="H38" s="609">
        <v>0</v>
      </c>
      <c r="I38" s="609">
        <f>399+439</f>
        <v>838</v>
      </c>
      <c r="J38" s="609">
        <v>399</v>
      </c>
      <c r="K38" s="609">
        <v>0</v>
      </c>
      <c r="L38" s="609">
        <v>399</v>
      </c>
      <c r="M38" s="609">
        <f>399+399</f>
        <v>798</v>
      </c>
      <c r="N38" s="609">
        <v>0</v>
      </c>
      <c r="O38" s="609">
        <v>399</v>
      </c>
      <c r="P38" s="609">
        <v>399</v>
      </c>
      <c r="Q38" s="609">
        <v>399</v>
      </c>
      <c r="R38" s="609">
        <f>409.64+399</f>
        <v>808.64</v>
      </c>
      <c r="S38" s="656">
        <f t="shared" ref="S38:S70" si="6">SUM(G38:R38)</f>
        <v>4838.6400000000003</v>
      </c>
      <c r="T38" s="682">
        <f t="shared" ca="1" si="4"/>
        <v>-2690</v>
      </c>
      <c r="U38" s="611">
        <v>41692</v>
      </c>
      <c r="V38" s="615" t="s">
        <v>1230</v>
      </c>
      <c r="W38" s="612"/>
      <c r="X38" s="613"/>
      <c r="Y38" s="613"/>
      <c r="Z38" s="613"/>
      <c r="AA38" s="613"/>
      <c r="AB38" s="613"/>
      <c r="AC38" s="616">
        <v>41667</v>
      </c>
      <c r="AD38" s="346">
        <v>41327</v>
      </c>
      <c r="AE38" s="614">
        <f t="shared" ca="1" si="5"/>
        <v>864</v>
      </c>
      <c r="AF38" s="339" t="s">
        <v>41</v>
      </c>
    </row>
    <row r="39" spans="1:33" s="311" customFormat="1" ht="38.25" x14ac:dyDescent="0.2">
      <c r="A39" s="675" t="s">
        <v>1332</v>
      </c>
      <c r="B39" s="339" t="s">
        <v>1353</v>
      </c>
      <c r="C39" s="339"/>
      <c r="D39" s="340" t="s">
        <v>194</v>
      </c>
      <c r="E39" s="340" t="s">
        <v>1663</v>
      </c>
      <c r="F39" s="365">
        <v>15600</v>
      </c>
      <c r="G39" s="609">
        <v>1300</v>
      </c>
      <c r="H39" s="609">
        <v>1300</v>
      </c>
      <c r="I39" s="609">
        <v>1300</v>
      </c>
      <c r="J39" s="609">
        <v>1300</v>
      </c>
      <c r="K39" s="609">
        <v>1300</v>
      </c>
      <c r="L39" s="609">
        <v>1300</v>
      </c>
      <c r="M39" s="609">
        <v>1300</v>
      </c>
      <c r="N39" s="609">
        <v>1300</v>
      </c>
      <c r="O39" s="609">
        <v>1300</v>
      </c>
      <c r="P39" s="609">
        <v>1300</v>
      </c>
      <c r="Q39" s="609">
        <v>1300</v>
      </c>
      <c r="R39" s="609">
        <v>1300</v>
      </c>
      <c r="S39" s="656">
        <f t="shared" si="6"/>
        <v>15600</v>
      </c>
      <c r="T39" s="610">
        <f ca="1">U39-$AE$3</f>
        <v>-1911</v>
      </c>
      <c r="U39" s="611">
        <v>42471</v>
      </c>
      <c r="V39" s="615" t="s">
        <v>1664</v>
      </c>
      <c r="W39" s="612" t="s">
        <v>734</v>
      </c>
      <c r="X39" s="613"/>
      <c r="Y39" s="613"/>
      <c r="Z39" s="613"/>
      <c r="AA39" s="613"/>
      <c r="AB39" s="613"/>
      <c r="AC39" s="616"/>
      <c r="AD39" s="346">
        <v>41376</v>
      </c>
      <c r="AE39" s="614">
        <f t="shared" ca="1" si="5"/>
        <v>815</v>
      </c>
      <c r="AF39" s="339" t="s">
        <v>48</v>
      </c>
    </row>
    <row r="40" spans="1:33" s="308" customFormat="1" ht="38.25" x14ac:dyDescent="0.2">
      <c r="A40" s="339" t="s">
        <v>1698</v>
      </c>
      <c r="B40" s="619" t="s">
        <v>1330</v>
      </c>
      <c r="C40" s="339"/>
      <c r="D40" s="340" t="s">
        <v>340</v>
      </c>
      <c r="E40" s="340" t="s">
        <v>1249</v>
      </c>
      <c r="F40" s="365">
        <v>20741.64</v>
      </c>
      <c r="G40" s="609">
        <v>1776.8</v>
      </c>
      <c r="H40" s="609">
        <v>1776.8</v>
      </c>
      <c r="I40" s="609">
        <v>1776.8</v>
      </c>
      <c r="J40" s="609">
        <v>0</v>
      </c>
      <c r="K40" s="609">
        <v>0</v>
      </c>
      <c r="L40" s="609">
        <f>1776.8+1728.47</f>
        <v>3505.27</v>
      </c>
      <c r="M40" s="609">
        <v>1728.47</v>
      </c>
      <c r="N40" s="609">
        <f>1728.47+604.8</f>
        <v>2333.27</v>
      </c>
      <c r="O40" s="609">
        <v>1728.47</v>
      </c>
      <c r="P40" s="609">
        <v>1728.47</v>
      </c>
      <c r="Q40" s="609">
        <v>1728.47</v>
      </c>
      <c r="R40" s="609">
        <v>1728.47</v>
      </c>
      <c r="S40" s="656">
        <f t="shared" si="6"/>
        <v>19811.29</v>
      </c>
      <c r="T40" s="610">
        <f t="shared" ref="T40:T72" ca="1" si="7">U40-$AE$3</f>
        <v>-1946</v>
      </c>
      <c r="U40" s="611">
        <v>42436</v>
      </c>
      <c r="V40" s="615" t="s">
        <v>1699</v>
      </c>
      <c r="W40" s="612" t="s">
        <v>1331</v>
      </c>
      <c r="X40" s="613"/>
      <c r="Y40" s="613"/>
      <c r="Z40" s="613"/>
      <c r="AA40" s="613"/>
      <c r="AB40" s="613"/>
      <c r="AC40" s="616">
        <v>42373</v>
      </c>
      <c r="AD40" s="346">
        <v>41341</v>
      </c>
      <c r="AE40" s="614">
        <f t="shared" ca="1" si="5"/>
        <v>850</v>
      </c>
      <c r="AF40" s="339" t="s">
        <v>96</v>
      </c>
    </row>
    <row r="41" spans="1:33" s="311" customFormat="1" ht="25.5" x14ac:dyDescent="0.2">
      <c r="A41" s="675" t="s">
        <v>1316</v>
      </c>
      <c r="B41" s="339" t="s">
        <v>1317</v>
      </c>
      <c r="C41" s="339" t="s">
        <v>1290</v>
      </c>
      <c r="D41" s="340" t="s">
        <v>1267</v>
      </c>
      <c r="E41" s="340" t="s">
        <v>1268</v>
      </c>
      <c r="F41" s="365">
        <v>105000</v>
      </c>
      <c r="G41" s="609">
        <v>3500</v>
      </c>
      <c r="H41" s="609">
        <v>3500</v>
      </c>
      <c r="I41" s="609">
        <v>3500</v>
      </c>
      <c r="J41" s="609">
        <v>3500</v>
      </c>
      <c r="K41" s="609">
        <v>3500</v>
      </c>
      <c r="L41" s="609">
        <v>3500</v>
      </c>
      <c r="M41" s="609">
        <v>3500</v>
      </c>
      <c r="N41" s="609">
        <v>3500</v>
      </c>
      <c r="O41" s="609">
        <v>3500</v>
      </c>
      <c r="P41" s="609">
        <v>3500</v>
      </c>
      <c r="Q41" s="609">
        <v>0</v>
      </c>
      <c r="R41" s="609">
        <f>3500+3500</f>
        <v>7000</v>
      </c>
      <c r="S41" s="656">
        <f t="shared" si="6"/>
        <v>42000</v>
      </c>
      <c r="T41" s="610">
        <f t="shared" ca="1" si="7"/>
        <v>-1983</v>
      </c>
      <c r="U41" s="611">
        <v>42399</v>
      </c>
      <c r="V41" s="615" t="s">
        <v>1262</v>
      </c>
      <c r="W41" s="612" t="s">
        <v>1378</v>
      </c>
      <c r="X41" s="613"/>
      <c r="Y41" s="613"/>
      <c r="Z41" s="613"/>
      <c r="AA41" s="613"/>
      <c r="AB41" s="613"/>
      <c r="AC41" s="616">
        <v>42348</v>
      </c>
      <c r="AD41" s="346">
        <v>41486</v>
      </c>
      <c r="AE41" s="614">
        <f t="shared" ca="1" si="5"/>
        <v>705</v>
      </c>
      <c r="AF41" s="339" t="s">
        <v>41</v>
      </c>
    </row>
    <row r="42" spans="1:33" s="311" customFormat="1" ht="63.75" x14ac:dyDescent="0.2">
      <c r="A42" s="675" t="s">
        <v>1720</v>
      </c>
      <c r="B42" s="339" t="s">
        <v>1612</v>
      </c>
      <c r="C42" s="339"/>
      <c r="D42" s="340" t="s">
        <v>1272</v>
      </c>
      <c r="E42" s="340" t="s">
        <v>1273</v>
      </c>
      <c r="F42" s="365">
        <v>117808.32000000001</v>
      </c>
      <c r="G42" s="609">
        <v>23126.61</v>
      </c>
      <c r="H42" s="609">
        <v>19607.43</v>
      </c>
      <c r="I42" s="609">
        <v>22546.33</v>
      </c>
      <c r="J42" s="609">
        <v>0</v>
      </c>
      <c r="K42" s="609">
        <v>6799</v>
      </c>
      <c r="L42" s="609">
        <v>7497.77</v>
      </c>
      <c r="M42" s="609">
        <v>6445.73</v>
      </c>
      <c r="N42" s="609">
        <v>8824.51</v>
      </c>
      <c r="O42" s="609">
        <f>16659.2+15152.84</f>
        <v>31812.04</v>
      </c>
      <c r="P42" s="609">
        <v>9946.7999999999993</v>
      </c>
      <c r="Q42" s="609">
        <v>8303.24</v>
      </c>
      <c r="R42" s="609">
        <v>0</v>
      </c>
      <c r="S42" s="656">
        <f t="shared" si="6"/>
        <v>144909.45999999996</v>
      </c>
      <c r="T42" s="610">
        <f t="shared" ca="1" si="7"/>
        <v>-2166</v>
      </c>
      <c r="U42" s="611">
        <v>42216</v>
      </c>
      <c r="V42" s="615" t="s">
        <v>1696</v>
      </c>
      <c r="W42" s="612" t="s">
        <v>1377</v>
      </c>
      <c r="X42" s="613"/>
      <c r="Y42" s="613"/>
      <c r="Z42" s="613"/>
      <c r="AA42" s="613"/>
      <c r="AB42" s="613"/>
      <c r="AC42" s="616">
        <v>42163</v>
      </c>
      <c r="AD42" s="346">
        <v>41487</v>
      </c>
      <c r="AE42" s="614">
        <f t="shared" ca="1" si="5"/>
        <v>704</v>
      </c>
      <c r="AF42" s="339"/>
    </row>
    <row r="43" spans="1:33" s="311" customFormat="1" ht="38.25" x14ac:dyDescent="0.2">
      <c r="A43" s="675" t="s">
        <v>1277</v>
      </c>
      <c r="B43" s="339" t="s">
        <v>1309</v>
      </c>
      <c r="C43" s="339" t="s">
        <v>1290</v>
      </c>
      <c r="D43" s="340" t="s">
        <v>1282</v>
      </c>
      <c r="E43" s="340" t="s">
        <v>1621</v>
      </c>
      <c r="F43" s="365">
        <f>46305.22*12</f>
        <v>555662.64</v>
      </c>
      <c r="G43" s="609">
        <f>43077.54</f>
        <v>43077.54</v>
      </c>
      <c r="H43" s="609">
        <v>43077.54</v>
      </c>
      <c r="I43" s="609">
        <v>43077.54</v>
      </c>
      <c r="J43" s="609">
        <v>43077.54</v>
      </c>
      <c r="K43" s="609">
        <v>43077.54</v>
      </c>
      <c r="L43" s="609">
        <v>43077.54</v>
      </c>
      <c r="M43" s="609">
        <v>43077.54</v>
      </c>
      <c r="N43" s="609">
        <v>43077.54</v>
      </c>
      <c r="O43" s="609">
        <v>43077.54</v>
      </c>
      <c r="P43" s="609">
        <v>43077.54</v>
      </c>
      <c r="Q43" s="609">
        <v>43077.54</v>
      </c>
      <c r="R43" s="609">
        <v>43077.54</v>
      </c>
      <c r="S43" s="656">
        <f t="shared" si="6"/>
        <v>516930.47999999992</v>
      </c>
      <c r="T43" s="610">
        <f t="shared" ca="1" si="7"/>
        <v>-966</v>
      </c>
      <c r="U43" s="611">
        <v>43416</v>
      </c>
      <c r="V43" s="615" t="s">
        <v>1823</v>
      </c>
      <c r="W43" s="612" t="s">
        <v>1310</v>
      </c>
      <c r="X43" s="613"/>
      <c r="Y43" s="613"/>
      <c r="Z43" s="613"/>
      <c r="AA43" s="613"/>
      <c r="AB43" s="613"/>
      <c r="AC43" s="616"/>
      <c r="AD43" s="346">
        <v>41515</v>
      </c>
      <c r="AE43" s="614">
        <f t="shared" ca="1" si="5"/>
        <v>676</v>
      </c>
      <c r="AF43" s="339" t="s">
        <v>41</v>
      </c>
    </row>
    <row r="44" spans="1:33" s="541" customFormat="1" ht="25.5" customHeight="1" x14ac:dyDescent="0.2">
      <c r="A44" s="339" t="s">
        <v>1411</v>
      </c>
      <c r="B44" s="619" t="s">
        <v>1412</v>
      </c>
      <c r="C44" s="339" t="s">
        <v>1290</v>
      </c>
      <c r="D44" s="340" t="s">
        <v>1285</v>
      </c>
      <c r="E44" s="340" t="s">
        <v>1590</v>
      </c>
      <c r="F44" s="365">
        <v>3100</v>
      </c>
      <c r="G44" s="609">
        <v>0</v>
      </c>
      <c r="H44" s="609">
        <v>0</v>
      </c>
      <c r="I44" s="609">
        <v>0</v>
      </c>
      <c r="J44" s="609">
        <v>0</v>
      </c>
      <c r="K44" s="609">
        <v>0</v>
      </c>
      <c r="L44" s="609">
        <v>0</v>
      </c>
      <c r="M44" s="609">
        <v>0</v>
      </c>
      <c r="N44" s="609">
        <v>500</v>
      </c>
      <c r="O44" s="609">
        <v>0</v>
      </c>
      <c r="P44" s="609">
        <v>0</v>
      </c>
      <c r="Q44" s="609">
        <v>0</v>
      </c>
      <c r="R44" s="609">
        <v>0</v>
      </c>
      <c r="S44" s="656">
        <f t="shared" si="6"/>
        <v>500</v>
      </c>
      <c r="T44" s="610">
        <f t="shared" ca="1" si="7"/>
        <v>-2136</v>
      </c>
      <c r="U44" s="611">
        <v>42246</v>
      </c>
      <c r="V44" s="615" t="s">
        <v>1591</v>
      </c>
      <c r="W44" s="612" t="s">
        <v>1399</v>
      </c>
      <c r="X44" s="613"/>
      <c r="Y44" s="613"/>
      <c r="Z44" s="613"/>
      <c r="AA44" s="613"/>
      <c r="AB44" s="613"/>
      <c r="AC44" s="616">
        <v>42187</v>
      </c>
      <c r="AD44" s="346">
        <v>41512</v>
      </c>
      <c r="AE44" s="614">
        <f t="shared" ca="1" si="5"/>
        <v>679</v>
      </c>
      <c r="AF44" s="339" t="s">
        <v>48</v>
      </c>
    </row>
    <row r="45" spans="1:33" s="308" customFormat="1" ht="26.25" x14ac:dyDescent="0.25">
      <c r="A45" s="646" t="s">
        <v>1721</v>
      </c>
      <c r="B45" s="339" t="s">
        <v>1567</v>
      </c>
      <c r="C45" s="339"/>
      <c r="D45" s="340" t="s">
        <v>1342</v>
      </c>
      <c r="E45" s="340" t="s">
        <v>1343</v>
      </c>
      <c r="F45" s="656">
        <v>41030.28</v>
      </c>
      <c r="G45" s="609">
        <v>5147.0600000000004</v>
      </c>
      <c r="H45" s="609">
        <v>5191.33</v>
      </c>
      <c r="I45" s="609">
        <v>6088.14</v>
      </c>
      <c r="J45" s="609">
        <v>6066.55</v>
      </c>
      <c r="K45" s="609">
        <v>6925.39</v>
      </c>
      <c r="L45" s="609">
        <v>10492.62</v>
      </c>
      <c r="M45" s="609">
        <v>11184.37</v>
      </c>
      <c r="N45" s="609">
        <v>9306.89</v>
      </c>
      <c r="O45" s="609">
        <v>11896.55</v>
      </c>
      <c r="P45" s="609">
        <v>10250.82</v>
      </c>
      <c r="Q45" s="609">
        <v>10109.93</v>
      </c>
      <c r="R45" s="609">
        <v>11358.67</v>
      </c>
      <c r="S45" s="656">
        <f>SUM(G45:R45)</f>
        <v>104018.31999999999</v>
      </c>
      <c r="T45" s="610">
        <f t="shared" ca="1" si="7"/>
        <v>-1871</v>
      </c>
      <c r="U45" s="611">
        <v>42511</v>
      </c>
      <c r="V45" s="345" t="s">
        <v>1789</v>
      </c>
      <c r="W45" s="612" t="s">
        <v>840</v>
      </c>
      <c r="X45" s="613"/>
      <c r="Y45" s="613"/>
      <c r="Z45" s="613"/>
      <c r="AA45" s="613"/>
      <c r="AB45" s="613"/>
      <c r="AC45" s="616"/>
      <c r="AD45" s="346">
        <v>41415</v>
      </c>
      <c r="AE45" s="614">
        <f ca="1">TODAY()-DATE(YEAR(AD45)+6,MONTH(AD45),DAY(AD45))</f>
        <v>776</v>
      </c>
      <c r="AF45" s="339" t="s">
        <v>29</v>
      </c>
      <c r="AG45" s="672"/>
    </row>
    <row r="46" spans="1:33" s="541" customFormat="1" ht="38.25" x14ac:dyDescent="0.2">
      <c r="A46" s="339" t="s">
        <v>1753</v>
      </c>
      <c r="B46" s="619" t="s">
        <v>1384</v>
      </c>
      <c r="C46" s="339" t="s">
        <v>772</v>
      </c>
      <c r="D46" s="340" t="s">
        <v>1381</v>
      </c>
      <c r="E46" s="340" t="s">
        <v>1351</v>
      </c>
      <c r="F46" s="365">
        <v>256181.76000000001</v>
      </c>
      <c r="G46" s="609">
        <v>12742.59</v>
      </c>
      <c r="H46" s="609">
        <v>12414.3</v>
      </c>
      <c r="I46" s="609">
        <v>11522.52</v>
      </c>
      <c r="J46" s="609">
        <v>11791.83</v>
      </c>
      <c r="K46" s="609">
        <v>10789.13</v>
      </c>
      <c r="L46" s="609">
        <v>12849.87</v>
      </c>
      <c r="M46" s="609">
        <v>13333.24</v>
      </c>
      <c r="N46" s="609">
        <v>12975.33</v>
      </c>
      <c r="O46" s="609">
        <v>11130.73</v>
      </c>
      <c r="P46" s="609">
        <v>13042.18</v>
      </c>
      <c r="Q46" s="609">
        <v>13904.77</v>
      </c>
      <c r="R46" s="609">
        <v>13252.63</v>
      </c>
      <c r="S46" s="656">
        <f>SUM(G46:R46)</f>
        <v>149749.12</v>
      </c>
      <c r="T46" s="610">
        <f t="shared" ca="1" si="7"/>
        <v>-1739</v>
      </c>
      <c r="U46" s="611">
        <v>42643</v>
      </c>
      <c r="V46" s="615" t="s">
        <v>1754</v>
      </c>
      <c r="W46" s="612" t="s">
        <v>751</v>
      </c>
      <c r="X46" s="613"/>
      <c r="Y46" s="613"/>
      <c r="Z46" s="613"/>
      <c r="AA46" s="613"/>
      <c r="AB46" s="613"/>
      <c r="AC46" s="616"/>
      <c r="AD46" s="346">
        <v>41548</v>
      </c>
      <c r="AE46" s="614">
        <f ca="1">TODAY()-DATE(YEAR(AD46)+6,MONTH(AD46),DAY(AD46))</f>
        <v>643</v>
      </c>
      <c r="AF46" s="339" t="s">
        <v>96</v>
      </c>
    </row>
    <row r="47" spans="1:33" s="541" customFormat="1" ht="76.5" x14ac:dyDescent="0.2">
      <c r="A47" s="339" t="s">
        <v>1437</v>
      </c>
      <c r="B47" s="339"/>
      <c r="C47" s="649" t="s">
        <v>1432</v>
      </c>
      <c r="D47" s="650" t="s">
        <v>1433</v>
      </c>
      <c r="E47" s="340" t="s">
        <v>1624</v>
      </c>
      <c r="F47" s="651">
        <v>0</v>
      </c>
      <c r="G47" s="609">
        <v>0</v>
      </c>
      <c r="H47" s="609">
        <v>0</v>
      </c>
      <c r="I47" s="609">
        <v>0</v>
      </c>
      <c r="J47" s="609">
        <v>0</v>
      </c>
      <c r="K47" s="609">
        <v>0</v>
      </c>
      <c r="L47" s="609">
        <v>0</v>
      </c>
      <c r="M47" s="609">
        <v>0</v>
      </c>
      <c r="N47" s="609">
        <v>0</v>
      </c>
      <c r="O47" s="609">
        <v>0</v>
      </c>
      <c r="P47" s="609">
        <v>0</v>
      </c>
      <c r="Q47" s="609">
        <v>0</v>
      </c>
      <c r="R47" s="609">
        <v>0</v>
      </c>
      <c r="S47" s="656">
        <f t="shared" si="6"/>
        <v>0</v>
      </c>
      <c r="T47" s="610">
        <f t="shared" ca="1" si="7"/>
        <v>-1693</v>
      </c>
      <c r="U47" s="611">
        <v>42689</v>
      </c>
      <c r="V47" s="615" t="s">
        <v>1782</v>
      </c>
      <c r="W47" s="612"/>
      <c r="X47" s="613"/>
      <c r="Y47" s="613"/>
      <c r="Z47" s="613"/>
      <c r="AA47" s="613"/>
      <c r="AB47" s="613"/>
      <c r="AC47" s="616"/>
      <c r="AD47" s="346">
        <v>41592</v>
      </c>
      <c r="AE47" s="614">
        <f t="shared" ca="1" si="5"/>
        <v>599</v>
      </c>
      <c r="AF47" s="339" t="s">
        <v>96</v>
      </c>
    </row>
    <row r="48" spans="1:33" s="541" customFormat="1" ht="38.25" x14ac:dyDescent="0.2">
      <c r="A48" s="339" t="s">
        <v>1639</v>
      </c>
      <c r="B48" s="339" t="s">
        <v>1444</v>
      </c>
      <c r="C48" s="339" t="s">
        <v>37</v>
      </c>
      <c r="D48" s="340" t="s">
        <v>1445</v>
      </c>
      <c r="E48" s="340" t="s">
        <v>1446</v>
      </c>
      <c r="F48" s="365">
        <v>36607.08</v>
      </c>
      <c r="G48" s="609">
        <v>2764.95</v>
      </c>
      <c r="H48" s="609">
        <v>2764.95</v>
      </c>
      <c r="I48" s="609">
        <v>2764.95</v>
      </c>
      <c r="J48" s="609">
        <v>2764.95</v>
      </c>
      <c r="K48" s="609">
        <v>2764.95</v>
      </c>
      <c r="L48" s="609">
        <v>2764.95</v>
      </c>
      <c r="M48" s="609">
        <v>2764.95</v>
      </c>
      <c r="N48" s="609">
        <v>2764.95</v>
      </c>
      <c r="O48" s="609">
        <v>2764.95</v>
      </c>
      <c r="P48" s="609">
        <v>2764.95</v>
      </c>
      <c r="Q48" s="609">
        <v>2764.95</v>
      </c>
      <c r="R48" s="609">
        <v>2764.95</v>
      </c>
      <c r="S48" s="656">
        <f t="shared" si="6"/>
        <v>33179.4</v>
      </c>
      <c r="T48" s="610">
        <f t="shared" ca="1" si="7"/>
        <v>-1677</v>
      </c>
      <c r="U48" s="611">
        <v>42705</v>
      </c>
      <c r="V48" s="615" t="s">
        <v>1783</v>
      </c>
      <c r="W48" s="612"/>
      <c r="X48" s="613"/>
      <c r="Y48" s="613"/>
      <c r="Z48" s="613"/>
      <c r="AA48" s="613"/>
      <c r="AB48" s="613"/>
      <c r="AC48" s="616"/>
      <c r="AD48" s="346">
        <v>41610</v>
      </c>
      <c r="AE48" s="614">
        <f t="shared" ca="1" si="5"/>
        <v>581</v>
      </c>
      <c r="AF48" s="339" t="s">
        <v>96</v>
      </c>
    </row>
    <row r="49" spans="1:32" s="541" customFormat="1" ht="38.25" x14ac:dyDescent="0.2">
      <c r="A49" s="339" t="s">
        <v>1457</v>
      </c>
      <c r="B49" s="339" t="s">
        <v>1458</v>
      </c>
      <c r="C49" s="339" t="s">
        <v>56</v>
      </c>
      <c r="D49" s="340" t="s">
        <v>303</v>
      </c>
      <c r="E49" s="340" t="s">
        <v>1459</v>
      </c>
      <c r="F49" s="365">
        <v>40479.120000000003</v>
      </c>
      <c r="G49" s="609">
        <f>1100.03+3169.73+48.27+164.48</f>
        <v>4482.51</v>
      </c>
      <c r="H49" s="609">
        <f>3169.73+1140.62+48.27</f>
        <v>4358.6200000000008</v>
      </c>
      <c r="I49" s="609">
        <f>1140.62+3169.73+48.27</f>
        <v>4358.6200000000008</v>
      </c>
      <c r="J49" s="609">
        <f>1140.22+3169.73+48.27</f>
        <v>4358.22</v>
      </c>
      <c r="K49" s="609">
        <f>1140.22+3169.73+48.27</f>
        <v>4358.22</v>
      </c>
      <c r="L49" s="609">
        <f>1140.22+3169.73+48.27</f>
        <v>4358.22</v>
      </c>
      <c r="M49" s="609">
        <f t="shared" ref="M49:R49" si="8">1140.22+3322.66+50.6</f>
        <v>4513.4800000000005</v>
      </c>
      <c r="N49" s="609">
        <f t="shared" si="8"/>
        <v>4513.4800000000005</v>
      </c>
      <c r="O49" s="609">
        <f t="shared" si="8"/>
        <v>4513.4800000000005</v>
      </c>
      <c r="P49" s="609">
        <f t="shared" si="8"/>
        <v>4513.4800000000005</v>
      </c>
      <c r="Q49" s="609">
        <f t="shared" si="8"/>
        <v>4513.4800000000005</v>
      </c>
      <c r="R49" s="609">
        <f t="shared" si="8"/>
        <v>4513.4800000000005</v>
      </c>
      <c r="S49" s="656">
        <f t="shared" si="6"/>
        <v>53355.290000000015</v>
      </c>
      <c r="T49" s="610">
        <f t="shared" ca="1" si="7"/>
        <v>-1835</v>
      </c>
      <c r="U49" s="611">
        <v>42547</v>
      </c>
      <c r="V49" s="615" t="s">
        <v>1752</v>
      </c>
      <c r="W49" s="612"/>
      <c r="X49" s="613"/>
      <c r="Y49" s="613"/>
      <c r="Z49" s="613"/>
      <c r="AA49" s="613"/>
      <c r="AB49" s="613"/>
      <c r="AC49" s="616"/>
      <c r="AD49" s="346">
        <v>41451</v>
      </c>
      <c r="AE49" s="614">
        <f t="shared" ca="1" si="5"/>
        <v>740</v>
      </c>
      <c r="AF49" s="339" t="s">
        <v>169</v>
      </c>
    </row>
    <row r="50" spans="1:32" s="541" customFormat="1" ht="38.25" customHeight="1" x14ac:dyDescent="0.2">
      <c r="A50" s="339" t="s">
        <v>1464</v>
      </c>
      <c r="B50" s="339" t="s">
        <v>1428</v>
      </c>
      <c r="C50" s="339" t="s">
        <v>56</v>
      </c>
      <c r="D50" s="340" t="s">
        <v>333</v>
      </c>
      <c r="E50" s="340" t="s">
        <v>1538</v>
      </c>
      <c r="F50" s="365">
        <v>4147.2</v>
      </c>
      <c r="G50" s="609">
        <v>0</v>
      </c>
      <c r="H50" s="609">
        <v>0</v>
      </c>
      <c r="I50" s="609">
        <v>0</v>
      </c>
      <c r="J50" s="609">
        <v>0</v>
      </c>
      <c r="K50" s="609">
        <v>0</v>
      </c>
      <c r="L50" s="609">
        <v>0</v>
      </c>
      <c r="M50" s="609">
        <v>0</v>
      </c>
      <c r="N50" s="609">
        <v>0</v>
      </c>
      <c r="O50" s="609">
        <v>0</v>
      </c>
      <c r="P50" s="609">
        <v>0</v>
      </c>
      <c r="Q50" s="609">
        <v>0</v>
      </c>
      <c r="R50" s="609">
        <v>0</v>
      </c>
      <c r="S50" s="656">
        <f t="shared" si="6"/>
        <v>0</v>
      </c>
      <c r="T50" s="610">
        <f t="shared" ca="1" si="7"/>
        <v>-2035</v>
      </c>
      <c r="U50" s="611">
        <v>42347</v>
      </c>
      <c r="V50" s="615" t="s">
        <v>1467</v>
      </c>
      <c r="W50" s="652" t="s">
        <v>1755</v>
      </c>
      <c r="X50" s="613"/>
      <c r="Y50" s="613"/>
      <c r="Z50" s="613"/>
      <c r="AA50" s="613"/>
      <c r="AB50" s="613"/>
      <c r="AC50" s="616">
        <v>42303</v>
      </c>
      <c r="AD50" s="346">
        <v>41618</v>
      </c>
      <c r="AE50" s="614">
        <f t="shared" ca="1" si="5"/>
        <v>573</v>
      </c>
      <c r="AF50" s="339" t="s">
        <v>41</v>
      </c>
    </row>
    <row r="51" spans="1:32" s="308" customFormat="1" ht="51" x14ac:dyDescent="0.2">
      <c r="A51" s="646" t="s">
        <v>1703</v>
      </c>
      <c r="B51" s="339" t="s">
        <v>1428</v>
      </c>
      <c r="C51" s="339" t="s">
        <v>56</v>
      </c>
      <c r="D51" s="340" t="s">
        <v>212</v>
      </c>
      <c r="E51" s="340" t="s">
        <v>1514</v>
      </c>
      <c r="F51" s="365">
        <v>8224.92</v>
      </c>
      <c r="G51" s="609">
        <v>660</v>
      </c>
      <c r="H51" s="609">
        <v>660</v>
      </c>
      <c r="I51" s="609">
        <v>660</v>
      </c>
      <c r="J51" s="609">
        <v>660</v>
      </c>
      <c r="K51" s="609">
        <v>660</v>
      </c>
      <c r="L51" s="609">
        <v>660</v>
      </c>
      <c r="M51" s="609">
        <v>660</v>
      </c>
      <c r="N51" s="609">
        <v>660</v>
      </c>
      <c r="O51" s="609">
        <v>660</v>
      </c>
      <c r="P51" s="609">
        <v>685.41</v>
      </c>
      <c r="Q51" s="609">
        <v>685.41</v>
      </c>
      <c r="R51" s="609">
        <v>685.41</v>
      </c>
      <c r="S51" s="656">
        <f t="shared" si="6"/>
        <v>7996.23</v>
      </c>
      <c r="T51" s="610">
        <f t="shared" ca="1" si="7"/>
        <v>-1922</v>
      </c>
      <c r="U51" s="611">
        <v>42460</v>
      </c>
      <c r="V51" s="615" t="s">
        <v>1718</v>
      </c>
      <c r="W51" s="612"/>
      <c r="X51" s="613"/>
      <c r="Y51" s="613"/>
      <c r="Z51" s="613"/>
      <c r="AA51" s="613"/>
      <c r="AB51" s="613"/>
      <c r="AC51" s="616"/>
      <c r="AD51" s="346">
        <v>41729</v>
      </c>
      <c r="AE51" s="614">
        <f t="shared" ca="1" si="5"/>
        <v>461</v>
      </c>
      <c r="AF51" s="339" t="s">
        <v>48</v>
      </c>
    </row>
    <row r="52" spans="1:32" s="311" customFormat="1" ht="76.5" x14ac:dyDescent="0.2">
      <c r="A52" s="675" t="s">
        <v>1704</v>
      </c>
      <c r="B52" s="339"/>
      <c r="C52" s="339"/>
      <c r="D52" s="340" t="s">
        <v>1661</v>
      </c>
      <c r="E52" s="340" t="s">
        <v>1516</v>
      </c>
      <c r="F52" s="365">
        <v>121050</v>
      </c>
      <c r="G52" s="673">
        <f>1407.41+786.07+647.07+19.81</f>
        <v>2860.36</v>
      </c>
      <c r="H52" s="673">
        <f>1717.02+2136.31+465.92+576.16</f>
        <v>4895.41</v>
      </c>
      <c r="I52" s="673">
        <v>0</v>
      </c>
      <c r="J52" s="673">
        <f>817.82+899.39+1700.23+3710.66+5780.54</f>
        <v>12908.64</v>
      </c>
      <c r="K52" s="673">
        <f>510.32+658.32+2565.15+2464.74+1144.22</f>
        <v>7342.75</v>
      </c>
      <c r="L52" s="673">
        <v>0</v>
      </c>
      <c r="M52" s="673">
        <f>2333.62+337+778.56+1767.44</f>
        <v>5216.62</v>
      </c>
      <c r="N52" s="673">
        <f>1491.45+668.2+1186.86+1439.58+2396.52</f>
        <v>7182.6100000000006</v>
      </c>
      <c r="O52" s="673">
        <v>647.73</v>
      </c>
      <c r="P52" s="673">
        <f>1005.54+312.79+364.12+1722.53</f>
        <v>3404.9799999999996</v>
      </c>
      <c r="Q52" s="673">
        <f>997.23+657.54</f>
        <v>1654.77</v>
      </c>
      <c r="R52" s="673">
        <f>141.39+1211.7+360.24+360.24+1368.96+1368.64</f>
        <v>4811.17</v>
      </c>
      <c r="S52" s="656">
        <f t="shared" si="6"/>
        <v>50925.04</v>
      </c>
      <c r="T52" s="610">
        <f t="shared" ca="1" si="7"/>
        <v>-1926</v>
      </c>
      <c r="U52" s="611">
        <v>42456</v>
      </c>
      <c r="V52" s="615" t="s">
        <v>1662</v>
      </c>
      <c r="W52" s="612"/>
      <c r="X52" s="613"/>
      <c r="Y52" s="613"/>
      <c r="Z52" s="613"/>
      <c r="AA52" s="613"/>
      <c r="AB52" s="613"/>
      <c r="AC52" s="616"/>
      <c r="AD52" s="346">
        <v>41726</v>
      </c>
      <c r="AE52" s="614">
        <f t="shared" ca="1" si="5"/>
        <v>464</v>
      </c>
      <c r="AF52" s="339" t="s">
        <v>48</v>
      </c>
    </row>
    <row r="53" spans="1:32" s="308" customFormat="1" ht="38.25" customHeight="1" x14ac:dyDescent="0.2">
      <c r="A53" s="646" t="s">
        <v>1546</v>
      </c>
      <c r="B53" s="339" t="s">
        <v>1522</v>
      </c>
      <c r="C53" s="339"/>
      <c r="D53" s="340" t="s">
        <v>1523</v>
      </c>
      <c r="E53" s="340" t="s">
        <v>1524</v>
      </c>
      <c r="F53" s="653">
        <v>0</v>
      </c>
      <c r="G53" s="609">
        <v>0</v>
      </c>
      <c r="H53" s="609">
        <v>0</v>
      </c>
      <c r="I53" s="609">
        <v>0</v>
      </c>
      <c r="J53" s="609">
        <v>0</v>
      </c>
      <c r="K53" s="609">
        <v>0</v>
      </c>
      <c r="L53" s="609">
        <v>0</v>
      </c>
      <c r="M53" s="609">
        <v>0</v>
      </c>
      <c r="N53" s="609">
        <v>0</v>
      </c>
      <c r="O53" s="609">
        <v>0</v>
      </c>
      <c r="P53" s="609">
        <v>0</v>
      </c>
      <c r="Q53" s="609">
        <v>0</v>
      </c>
      <c r="R53" s="609">
        <v>0</v>
      </c>
      <c r="S53" s="656">
        <f t="shared" si="6"/>
        <v>0</v>
      </c>
      <c r="T53" s="610">
        <f t="shared" ca="1" si="7"/>
        <v>-1908</v>
      </c>
      <c r="U53" s="611">
        <v>42474</v>
      </c>
      <c r="V53" s="615" t="s">
        <v>1717</v>
      </c>
      <c r="W53" s="612"/>
      <c r="X53" s="613"/>
      <c r="Y53" s="613"/>
      <c r="Z53" s="613"/>
      <c r="AA53" s="613"/>
      <c r="AB53" s="613"/>
      <c r="AC53" s="616"/>
      <c r="AD53" s="346">
        <v>41743</v>
      </c>
      <c r="AE53" s="614">
        <f t="shared" ca="1" si="5"/>
        <v>447</v>
      </c>
      <c r="AF53" s="339" t="s">
        <v>649</v>
      </c>
    </row>
    <row r="54" spans="1:32" s="311" customFormat="1" ht="51" x14ac:dyDescent="0.2">
      <c r="A54" s="675" t="s">
        <v>1552</v>
      </c>
      <c r="B54" s="339" t="s">
        <v>1428</v>
      </c>
      <c r="C54" s="339" t="s">
        <v>56</v>
      </c>
      <c r="D54" s="340" t="s">
        <v>62</v>
      </c>
      <c r="E54" s="340" t="s">
        <v>1553</v>
      </c>
      <c r="F54" s="365">
        <v>9266.2800000000007</v>
      </c>
      <c r="G54" s="673">
        <v>710</v>
      </c>
      <c r="H54" s="673">
        <v>710</v>
      </c>
      <c r="I54" s="673">
        <v>710</v>
      </c>
      <c r="J54" s="673">
        <v>710</v>
      </c>
      <c r="K54" s="673">
        <v>710</v>
      </c>
      <c r="L54" s="673">
        <v>710</v>
      </c>
      <c r="M54" s="673">
        <v>710</v>
      </c>
      <c r="N54" s="673">
        <v>772.19</v>
      </c>
      <c r="O54" s="673">
        <v>772.19</v>
      </c>
      <c r="P54" s="673">
        <v>772.19</v>
      </c>
      <c r="Q54" s="673">
        <v>772.19</v>
      </c>
      <c r="R54" s="673">
        <v>772.19</v>
      </c>
      <c r="S54" s="656">
        <f t="shared" si="6"/>
        <v>8830.9500000000025</v>
      </c>
      <c r="T54" s="610">
        <f t="shared" ca="1" si="7"/>
        <v>-1841</v>
      </c>
      <c r="U54" s="611">
        <v>42541</v>
      </c>
      <c r="V54" s="615" t="s">
        <v>1716</v>
      </c>
      <c r="W54" s="612"/>
      <c r="X54" s="613"/>
      <c r="Y54" s="613"/>
      <c r="Z54" s="613"/>
      <c r="AA54" s="613"/>
      <c r="AB54" s="613"/>
      <c r="AC54" s="616"/>
      <c r="AD54" s="346">
        <v>41811</v>
      </c>
      <c r="AE54" s="614">
        <f t="shared" ca="1" si="5"/>
        <v>379</v>
      </c>
      <c r="AF54" s="339" t="s">
        <v>48</v>
      </c>
    </row>
    <row r="55" spans="1:32" s="541" customFormat="1" ht="25.5" x14ac:dyDescent="0.2">
      <c r="A55" s="646" t="s">
        <v>1555</v>
      </c>
      <c r="B55" s="639" t="s">
        <v>1428</v>
      </c>
      <c r="C55" s="639" t="s">
        <v>56</v>
      </c>
      <c r="D55" s="340" t="s">
        <v>1556</v>
      </c>
      <c r="E55" s="340" t="s">
        <v>1213</v>
      </c>
      <c r="F55" s="365">
        <v>7920</v>
      </c>
      <c r="G55" s="609">
        <v>660</v>
      </c>
      <c r="H55" s="609">
        <v>0</v>
      </c>
      <c r="I55" s="609">
        <v>0</v>
      </c>
      <c r="J55" s="609">
        <v>0</v>
      </c>
      <c r="K55" s="609">
        <v>0</v>
      </c>
      <c r="L55" s="609">
        <v>0</v>
      </c>
      <c r="M55" s="609">
        <v>0</v>
      </c>
      <c r="N55" s="609">
        <v>0</v>
      </c>
      <c r="O55" s="609">
        <v>0</v>
      </c>
      <c r="P55" s="609">
        <v>0</v>
      </c>
      <c r="Q55" s="609">
        <v>0</v>
      </c>
      <c r="R55" s="609">
        <v>0</v>
      </c>
      <c r="S55" s="656">
        <f t="shared" si="6"/>
        <v>660</v>
      </c>
      <c r="T55" s="610">
        <f t="shared" ca="1" si="7"/>
        <v>-2198</v>
      </c>
      <c r="U55" s="611">
        <v>42184</v>
      </c>
      <c r="V55" s="615" t="s">
        <v>1557</v>
      </c>
      <c r="W55" s="612"/>
      <c r="X55" s="613"/>
      <c r="Y55" s="613"/>
      <c r="Z55" s="613"/>
      <c r="AA55" s="613"/>
      <c r="AB55" s="613"/>
      <c r="AC55" s="616">
        <v>42131</v>
      </c>
      <c r="AD55" s="346">
        <v>41820</v>
      </c>
      <c r="AE55" s="614">
        <f t="shared" ca="1" si="5"/>
        <v>370</v>
      </c>
      <c r="AF55" s="339" t="s">
        <v>48</v>
      </c>
    </row>
    <row r="56" spans="1:32" s="311" customFormat="1" ht="38.25" x14ac:dyDescent="0.2">
      <c r="A56" s="675" t="s">
        <v>1558</v>
      </c>
      <c r="B56" s="339" t="s">
        <v>1700</v>
      </c>
      <c r="C56" s="339" t="s">
        <v>617</v>
      </c>
      <c r="D56" s="340" t="s">
        <v>618</v>
      </c>
      <c r="E56" s="340" t="s">
        <v>1559</v>
      </c>
      <c r="F56" s="365">
        <v>82191</v>
      </c>
      <c r="G56" s="673">
        <v>8221.25</v>
      </c>
      <c r="H56" s="673">
        <v>7122.67</v>
      </c>
      <c r="I56" s="673">
        <v>8155.1</v>
      </c>
      <c r="J56" s="673">
        <v>6849.25</v>
      </c>
      <c r="K56" s="673">
        <v>7376.49</v>
      </c>
      <c r="L56" s="673">
        <v>7227.53</v>
      </c>
      <c r="M56" s="673">
        <v>6849.25</v>
      </c>
      <c r="N56" s="673">
        <v>7164.81</v>
      </c>
      <c r="O56" s="673">
        <v>6849.25</v>
      </c>
      <c r="P56" s="673">
        <v>6988.9</v>
      </c>
      <c r="Q56" s="673">
        <v>6967.34</v>
      </c>
      <c r="R56" s="673">
        <v>8587.2800000000007</v>
      </c>
      <c r="S56" s="656">
        <f t="shared" si="6"/>
        <v>88359.12</v>
      </c>
      <c r="T56" s="610">
        <f t="shared" ca="1" si="7"/>
        <v>-1832</v>
      </c>
      <c r="U56" s="611">
        <v>42550</v>
      </c>
      <c r="V56" s="615" t="s">
        <v>1725</v>
      </c>
      <c r="W56" s="612"/>
      <c r="X56" s="613"/>
      <c r="Y56" s="613"/>
      <c r="Z56" s="613"/>
      <c r="AA56" s="613"/>
      <c r="AB56" s="613"/>
      <c r="AC56" s="616"/>
      <c r="AD56" s="346">
        <v>41820</v>
      </c>
      <c r="AE56" s="614">
        <f t="shared" ca="1" si="5"/>
        <v>370</v>
      </c>
      <c r="AF56" s="339" t="s">
        <v>41</v>
      </c>
    </row>
    <row r="57" spans="1:32" s="311" customFormat="1" ht="38.25" x14ac:dyDescent="0.2">
      <c r="A57" s="675" t="s">
        <v>1569</v>
      </c>
      <c r="B57" s="339" t="s">
        <v>1428</v>
      </c>
      <c r="C57" s="339" t="s">
        <v>56</v>
      </c>
      <c r="D57" s="340" t="s">
        <v>1487</v>
      </c>
      <c r="E57" s="340" t="s">
        <v>1570</v>
      </c>
      <c r="F57" s="365">
        <v>8526.48</v>
      </c>
      <c r="G57" s="673">
        <v>650</v>
      </c>
      <c r="H57" s="673">
        <v>650</v>
      </c>
      <c r="I57" s="673">
        <v>650</v>
      </c>
      <c r="J57" s="673">
        <v>650</v>
      </c>
      <c r="K57" s="673">
        <v>650</v>
      </c>
      <c r="L57" s="673">
        <v>650</v>
      </c>
      <c r="M57" s="673">
        <v>650</v>
      </c>
      <c r="N57" s="673">
        <v>650</v>
      </c>
      <c r="O57" s="673">
        <v>650</v>
      </c>
      <c r="P57" s="673">
        <v>650</v>
      </c>
      <c r="Q57" s="673">
        <v>650</v>
      </c>
      <c r="R57" s="673">
        <v>650</v>
      </c>
      <c r="S57" s="656">
        <f t="shared" si="6"/>
        <v>7800</v>
      </c>
      <c r="T57" s="610">
        <f t="shared" ca="1" si="7"/>
        <v>-1815</v>
      </c>
      <c r="U57" s="611">
        <v>42567</v>
      </c>
      <c r="V57" s="615" t="s">
        <v>1745</v>
      </c>
      <c r="W57" s="612"/>
      <c r="X57" s="613"/>
      <c r="Y57" s="613"/>
      <c r="Z57" s="613"/>
      <c r="AA57" s="613"/>
      <c r="AB57" s="613"/>
      <c r="AC57" s="616"/>
      <c r="AD57" s="346">
        <v>41837</v>
      </c>
      <c r="AE57" s="614">
        <f t="shared" ca="1" si="5"/>
        <v>353</v>
      </c>
      <c r="AF57" s="339" t="s">
        <v>48</v>
      </c>
    </row>
    <row r="58" spans="1:32" s="541" customFormat="1" ht="51" x14ac:dyDescent="0.2">
      <c r="A58" s="646" t="s">
        <v>1581</v>
      </c>
      <c r="B58" s="339"/>
      <c r="C58" s="339"/>
      <c r="D58" s="340" t="s">
        <v>586</v>
      </c>
      <c r="E58" s="340" t="s">
        <v>1582</v>
      </c>
      <c r="F58" s="365">
        <v>1596800.76</v>
      </c>
      <c r="G58" s="609">
        <f>121434.46+12300+2992</f>
        <v>136726.46000000002</v>
      </c>
      <c r="H58" s="609">
        <v>63725.24</v>
      </c>
      <c r="I58" s="609">
        <f>58543.14+120028.74</f>
        <v>178571.88</v>
      </c>
      <c r="J58" s="609">
        <v>126407.9</v>
      </c>
      <c r="K58" s="609">
        <v>120297.52</v>
      </c>
      <c r="L58" s="609">
        <v>118584.84</v>
      </c>
      <c r="M58" s="609">
        <v>125224.87</v>
      </c>
      <c r="N58" s="609">
        <v>121568.15</v>
      </c>
      <c r="O58" s="609">
        <v>120028.74</v>
      </c>
      <c r="P58" s="609">
        <v>120450.11</v>
      </c>
      <c r="Q58" s="609">
        <v>119571.36</v>
      </c>
      <c r="R58" s="609">
        <f>49857.15+135077.56+58604.22+14920.5</f>
        <v>258459.43</v>
      </c>
      <c r="S58" s="656">
        <f t="shared" si="6"/>
        <v>1609616.5000000002</v>
      </c>
      <c r="T58" s="610">
        <f t="shared" ca="1" si="7"/>
        <v>-1786</v>
      </c>
      <c r="U58" s="611">
        <v>42596</v>
      </c>
      <c r="V58" s="345" t="s">
        <v>1790</v>
      </c>
      <c r="W58" s="612"/>
      <c r="X58" s="613"/>
      <c r="Y58" s="613"/>
      <c r="Z58" s="613"/>
      <c r="AA58" s="613"/>
      <c r="AB58" s="613"/>
      <c r="AC58" s="616"/>
      <c r="AD58" s="346">
        <v>41897</v>
      </c>
      <c r="AE58" s="614">
        <f t="shared" ca="1" si="5"/>
        <v>293</v>
      </c>
      <c r="AF58" s="339" t="s">
        <v>96</v>
      </c>
    </row>
    <row r="59" spans="1:32" s="541" customFormat="1" ht="51" x14ac:dyDescent="0.2">
      <c r="A59" s="646" t="s">
        <v>1583</v>
      </c>
      <c r="B59" s="639" t="s">
        <v>1608</v>
      </c>
      <c r="C59" s="639" t="s">
        <v>56</v>
      </c>
      <c r="D59" s="340" t="s">
        <v>1584</v>
      </c>
      <c r="E59" s="340" t="s">
        <v>1585</v>
      </c>
      <c r="F59" s="365" t="s">
        <v>1586</v>
      </c>
      <c r="G59" s="609">
        <v>562.02</v>
      </c>
      <c r="H59" s="609">
        <f>580+580</f>
        <v>1160</v>
      </c>
      <c r="I59" s="609">
        <f>580.58+580+598.27</f>
        <v>1758.85</v>
      </c>
      <c r="J59" s="609">
        <v>821.28</v>
      </c>
      <c r="K59" s="609">
        <v>917.85</v>
      </c>
      <c r="L59" s="609">
        <v>0</v>
      </c>
      <c r="M59" s="609">
        <v>0</v>
      </c>
      <c r="N59" s="609">
        <v>0</v>
      </c>
      <c r="O59" s="609">
        <v>0</v>
      </c>
      <c r="P59" s="609">
        <v>0</v>
      </c>
      <c r="Q59" s="609">
        <v>0</v>
      </c>
      <c r="R59" s="609">
        <v>0</v>
      </c>
      <c r="S59" s="656">
        <f t="shared" si="6"/>
        <v>5220</v>
      </c>
      <c r="T59" s="610">
        <f t="shared" ca="1" si="7"/>
        <v>-2138</v>
      </c>
      <c r="U59" s="611">
        <v>42244</v>
      </c>
      <c r="V59" s="615" t="s">
        <v>1587</v>
      </c>
      <c r="W59" s="612"/>
      <c r="X59" s="613"/>
      <c r="Y59" s="613"/>
      <c r="Z59" s="613"/>
      <c r="AA59" s="613"/>
      <c r="AB59" s="613"/>
      <c r="AC59" s="616">
        <v>42187</v>
      </c>
      <c r="AD59" s="346">
        <v>41880</v>
      </c>
      <c r="AE59" s="614">
        <f t="shared" ref="AE59:AE147" ca="1" si="9">TODAY()-DATE(YEAR(AD59)+6,MONTH(AD59),DAY(AD59))</f>
        <v>310</v>
      </c>
      <c r="AF59" s="339" t="s">
        <v>29</v>
      </c>
    </row>
    <row r="60" spans="1:32" s="541" customFormat="1" ht="38.25" x14ac:dyDescent="0.2">
      <c r="A60" s="646" t="s">
        <v>1592</v>
      </c>
      <c r="B60" s="339" t="s">
        <v>1593</v>
      </c>
      <c r="C60" s="339"/>
      <c r="D60" s="340" t="s">
        <v>1594</v>
      </c>
      <c r="E60" s="340" t="s">
        <v>1702</v>
      </c>
      <c r="F60" s="365">
        <v>23688</v>
      </c>
      <c r="G60" s="609">
        <v>0</v>
      </c>
      <c r="H60" s="609">
        <v>0</v>
      </c>
      <c r="I60" s="609">
        <v>0</v>
      </c>
      <c r="J60" s="609">
        <v>0</v>
      </c>
      <c r="K60" s="609">
        <v>0</v>
      </c>
      <c r="L60" s="609">
        <v>0</v>
      </c>
      <c r="M60" s="609">
        <v>0</v>
      </c>
      <c r="N60" s="609">
        <v>0</v>
      </c>
      <c r="O60" s="609">
        <v>0</v>
      </c>
      <c r="P60" s="609">
        <v>0</v>
      </c>
      <c r="Q60" s="609">
        <v>0</v>
      </c>
      <c r="R60" s="609">
        <v>0</v>
      </c>
      <c r="S60" s="656">
        <f t="shared" si="6"/>
        <v>0</v>
      </c>
      <c r="T60" s="610">
        <f t="shared" ca="1" si="7"/>
        <v>-1369</v>
      </c>
      <c r="U60" s="611">
        <v>43013</v>
      </c>
      <c r="V60" s="615" t="s">
        <v>1596</v>
      </c>
      <c r="W60" s="612"/>
      <c r="X60" s="613"/>
      <c r="Y60" s="613"/>
      <c r="Z60" s="613"/>
      <c r="AA60" s="613"/>
      <c r="AB60" s="613"/>
      <c r="AC60" s="616"/>
      <c r="AD60" s="346">
        <v>41918</v>
      </c>
      <c r="AE60" s="614">
        <f t="shared" ca="1" si="9"/>
        <v>272</v>
      </c>
      <c r="AF60" s="339" t="s">
        <v>41</v>
      </c>
    </row>
    <row r="61" spans="1:32" s="541" customFormat="1" ht="25.5" x14ac:dyDescent="0.2">
      <c r="A61" s="646" t="s">
        <v>1597</v>
      </c>
      <c r="B61" s="339" t="s">
        <v>1598</v>
      </c>
      <c r="C61" s="639" t="s">
        <v>56</v>
      </c>
      <c r="D61" s="340" t="s">
        <v>973</v>
      </c>
      <c r="E61" s="340" t="s">
        <v>1438</v>
      </c>
      <c r="F61" s="365">
        <v>7950</v>
      </c>
      <c r="G61" s="609">
        <v>0</v>
      </c>
      <c r="H61" s="609">
        <v>0</v>
      </c>
      <c r="I61" s="609">
        <v>0</v>
      </c>
      <c r="J61" s="609">
        <v>0</v>
      </c>
      <c r="K61" s="609">
        <v>0</v>
      </c>
      <c r="L61" s="609">
        <v>0</v>
      </c>
      <c r="M61" s="609">
        <v>0</v>
      </c>
      <c r="N61" s="609">
        <v>0</v>
      </c>
      <c r="O61" s="609">
        <v>0</v>
      </c>
      <c r="P61" s="609">
        <v>0</v>
      </c>
      <c r="Q61" s="609">
        <v>0</v>
      </c>
      <c r="R61" s="609">
        <v>0</v>
      </c>
      <c r="S61" s="656">
        <f t="shared" si="6"/>
        <v>0</v>
      </c>
      <c r="T61" s="610">
        <f t="shared" ca="1" si="7"/>
        <v>-2089</v>
      </c>
      <c r="U61" s="611">
        <v>42293</v>
      </c>
      <c r="V61" s="615" t="s">
        <v>1599</v>
      </c>
      <c r="W61" s="612"/>
      <c r="X61" s="613"/>
      <c r="Y61" s="613"/>
      <c r="Z61" s="613"/>
      <c r="AA61" s="613"/>
      <c r="AB61" s="613"/>
      <c r="AC61" s="616">
        <v>42247</v>
      </c>
      <c r="AD61" s="346">
        <v>41929</v>
      </c>
      <c r="AE61" s="614">
        <f t="shared" ca="1" si="9"/>
        <v>261</v>
      </c>
      <c r="AF61" s="339" t="s">
        <v>649</v>
      </c>
    </row>
    <row r="62" spans="1:32" s="541" customFormat="1" ht="42" customHeight="1" x14ac:dyDescent="0.2">
      <c r="A62" s="646" t="s">
        <v>1600</v>
      </c>
      <c r="B62" s="339"/>
      <c r="C62" s="339"/>
      <c r="D62" s="340" t="s">
        <v>1601</v>
      </c>
      <c r="E62" s="340" t="s">
        <v>1602</v>
      </c>
      <c r="F62" s="365">
        <v>10160</v>
      </c>
      <c r="G62" s="609">
        <f>917.92+914.05+585.6</f>
        <v>2417.5699999999997</v>
      </c>
      <c r="H62" s="609">
        <v>0</v>
      </c>
      <c r="I62" s="609">
        <v>935.61</v>
      </c>
      <c r="J62" s="609">
        <v>0</v>
      </c>
      <c r="K62" s="609">
        <v>0</v>
      </c>
      <c r="L62" s="609">
        <v>899.6</v>
      </c>
      <c r="M62" s="609">
        <v>821.25</v>
      </c>
      <c r="N62" s="609">
        <v>928.44</v>
      </c>
      <c r="O62" s="609">
        <v>899.66</v>
      </c>
      <c r="P62" s="609">
        <v>906.85</v>
      </c>
      <c r="Q62" s="609">
        <v>906.85</v>
      </c>
      <c r="R62" s="609">
        <v>899.66</v>
      </c>
      <c r="S62" s="656">
        <f t="shared" si="6"/>
        <v>9615.49</v>
      </c>
      <c r="T62" s="610">
        <f t="shared" ca="1" si="7"/>
        <v>-1728</v>
      </c>
      <c r="U62" s="611">
        <v>42654</v>
      </c>
      <c r="V62" s="615" t="s">
        <v>1784</v>
      </c>
      <c r="W62" s="654"/>
      <c r="X62" s="613"/>
      <c r="Y62" s="613"/>
      <c r="Z62" s="613"/>
      <c r="AA62" s="613"/>
      <c r="AB62" s="613"/>
      <c r="AC62" s="616"/>
      <c r="AD62" s="346">
        <v>41913</v>
      </c>
      <c r="AE62" s="614">
        <f t="shared" ca="1" si="9"/>
        <v>277</v>
      </c>
      <c r="AF62" s="339" t="s">
        <v>96</v>
      </c>
    </row>
    <row r="63" spans="1:32" s="311" customFormat="1" ht="51" x14ac:dyDescent="0.2">
      <c r="A63" s="675" t="s">
        <v>1604</v>
      </c>
      <c r="B63" s="339"/>
      <c r="C63" s="339"/>
      <c r="D63" s="340" t="s">
        <v>1605</v>
      </c>
      <c r="E63" s="340" t="s">
        <v>1606</v>
      </c>
      <c r="F63" s="365">
        <v>82397.5</v>
      </c>
      <c r="G63" s="673">
        <v>0</v>
      </c>
      <c r="H63" s="673">
        <v>0</v>
      </c>
      <c r="I63" s="673">
        <v>2700</v>
      </c>
      <c r="J63" s="673">
        <v>0</v>
      </c>
      <c r="K63" s="673">
        <v>0</v>
      </c>
      <c r="L63" s="673">
        <v>0</v>
      </c>
      <c r="M63" s="673">
        <v>0</v>
      </c>
      <c r="N63" s="673">
        <v>0</v>
      </c>
      <c r="O63" s="673">
        <v>0</v>
      </c>
      <c r="P63" s="673">
        <v>0</v>
      </c>
      <c r="Q63" s="673">
        <v>0</v>
      </c>
      <c r="R63" s="673">
        <v>0</v>
      </c>
      <c r="S63" s="656">
        <f t="shared" si="6"/>
        <v>2700</v>
      </c>
      <c r="T63" s="610">
        <f t="shared" ca="1" si="7"/>
        <v>-2085</v>
      </c>
      <c r="U63" s="611">
        <v>42297</v>
      </c>
      <c r="V63" s="615" t="s">
        <v>1607</v>
      </c>
      <c r="W63" s="612"/>
      <c r="X63" s="613"/>
      <c r="Y63" s="613"/>
      <c r="Z63" s="613"/>
      <c r="AA63" s="613"/>
      <c r="AB63" s="613"/>
      <c r="AC63" s="616">
        <v>42247</v>
      </c>
      <c r="AD63" s="346">
        <v>41933</v>
      </c>
      <c r="AE63" s="614">
        <f t="shared" ca="1" si="9"/>
        <v>257</v>
      </c>
      <c r="AF63" s="339" t="s">
        <v>48</v>
      </c>
    </row>
    <row r="64" spans="1:32" s="311" customFormat="1" ht="25.5" x14ac:dyDescent="0.2">
      <c r="A64" s="675" t="s">
        <v>1614</v>
      </c>
      <c r="B64" s="339"/>
      <c r="C64" s="339"/>
      <c r="D64" s="340" t="s">
        <v>1615</v>
      </c>
      <c r="E64" s="340" t="s">
        <v>1616</v>
      </c>
      <c r="F64" s="365">
        <v>61680</v>
      </c>
      <c r="G64" s="673">
        <v>0</v>
      </c>
      <c r="H64" s="673">
        <v>61680</v>
      </c>
      <c r="I64" s="673">
        <v>0</v>
      </c>
      <c r="J64" s="673">
        <v>0</v>
      </c>
      <c r="K64" s="673">
        <v>0</v>
      </c>
      <c r="L64" s="673">
        <v>0</v>
      </c>
      <c r="M64" s="673">
        <v>0</v>
      </c>
      <c r="N64" s="673">
        <v>0</v>
      </c>
      <c r="O64" s="673">
        <v>0</v>
      </c>
      <c r="P64" s="673">
        <v>0</v>
      </c>
      <c r="Q64" s="673">
        <v>0</v>
      </c>
      <c r="R64" s="673">
        <v>0</v>
      </c>
      <c r="S64" s="656">
        <f t="shared" si="6"/>
        <v>61680</v>
      </c>
      <c r="T64" s="610">
        <f t="shared" ca="1" si="7"/>
        <v>-962</v>
      </c>
      <c r="U64" s="611">
        <v>43420</v>
      </c>
      <c r="V64" s="615" t="s">
        <v>1617</v>
      </c>
      <c r="W64" s="612"/>
      <c r="X64" s="613"/>
      <c r="Y64" s="613"/>
      <c r="Z64" s="613"/>
      <c r="AA64" s="613"/>
      <c r="AB64" s="613"/>
      <c r="AC64" s="616"/>
      <c r="AD64" s="346">
        <v>41961</v>
      </c>
      <c r="AE64" s="614">
        <f t="shared" ca="1" si="9"/>
        <v>229</v>
      </c>
      <c r="AF64" s="339" t="s">
        <v>41</v>
      </c>
    </row>
    <row r="65" spans="1:32" s="311" customFormat="1" ht="25.5" x14ac:dyDescent="0.2">
      <c r="A65" s="675" t="s">
        <v>1631</v>
      </c>
      <c r="B65" s="339" t="s">
        <v>1701</v>
      </c>
      <c r="C65" s="339" t="s">
        <v>617</v>
      </c>
      <c r="D65" s="340" t="s">
        <v>1632</v>
      </c>
      <c r="E65" s="340" t="s">
        <v>1633</v>
      </c>
      <c r="F65" s="365">
        <v>110267.4</v>
      </c>
      <c r="G65" s="673">
        <v>0</v>
      </c>
      <c r="H65" s="673">
        <v>0</v>
      </c>
      <c r="I65" s="673">
        <v>6999.95</v>
      </c>
      <c r="J65" s="673">
        <v>6999.95</v>
      </c>
      <c r="K65" s="673">
        <v>6999.95</v>
      </c>
      <c r="L65" s="673">
        <v>6999.95</v>
      </c>
      <c r="M65" s="673">
        <v>6999.95</v>
      </c>
      <c r="N65" s="673">
        <v>6999.95</v>
      </c>
      <c r="O65" s="673">
        <v>6999.95</v>
      </c>
      <c r="P65" s="673">
        <v>6999.95</v>
      </c>
      <c r="Q65" s="673">
        <v>6999.95</v>
      </c>
      <c r="R65" s="673">
        <v>6999.95</v>
      </c>
      <c r="S65" s="656">
        <f t="shared" si="6"/>
        <v>69999.499999999985</v>
      </c>
      <c r="T65" s="610">
        <f t="shared" ca="1" si="7"/>
        <v>-2033</v>
      </c>
      <c r="U65" s="611">
        <v>42349</v>
      </c>
      <c r="V65" s="615" t="s">
        <v>1634</v>
      </c>
      <c r="W65" s="612"/>
      <c r="X65" s="613"/>
      <c r="Y65" s="613"/>
      <c r="Z65" s="613"/>
      <c r="AA65" s="613"/>
      <c r="AB65" s="613"/>
      <c r="AC65" s="616">
        <v>42303</v>
      </c>
      <c r="AD65" s="346">
        <v>41985</v>
      </c>
      <c r="AE65" s="614">
        <f t="shared" ca="1" si="9"/>
        <v>205</v>
      </c>
      <c r="AF65" s="339" t="s">
        <v>48</v>
      </c>
    </row>
    <row r="66" spans="1:32" s="311" customFormat="1" ht="25.5" x14ac:dyDescent="0.2">
      <c r="A66" s="675" t="s">
        <v>1631</v>
      </c>
      <c r="B66" s="339" t="s">
        <v>1700</v>
      </c>
      <c r="C66" s="339" t="s">
        <v>617</v>
      </c>
      <c r="D66" s="340" t="s">
        <v>1635</v>
      </c>
      <c r="E66" s="340" t="s">
        <v>1636</v>
      </c>
      <c r="F66" s="365">
        <v>100800</v>
      </c>
      <c r="G66" s="673">
        <v>1120</v>
      </c>
      <c r="H66" s="673">
        <v>2730</v>
      </c>
      <c r="I66" s="673">
        <v>8400</v>
      </c>
      <c r="J66" s="673">
        <v>8400</v>
      </c>
      <c r="K66" s="673">
        <v>8400</v>
      </c>
      <c r="L66" s="673">
        <v>8400</v>
      </c>
      <c r="M66" s="673">
        <v>8400</v>
      </c>
      <c r="N66" s="673">
        <v>8400</v>
      </c>
      <c r="O66" s="673">
        <v>8400</v>
      </c>
      <c r="P66" s="673">
        <v>8400</v>
      </c>
      <c r="Q66" s="673">
        <v>8400</v>
      </c>
      <c r="R66" s="673">
        <v>8400</v>
      </c>
      <c r="S66" s="656">
        <f t="shared" si="6"/>
        <v>87850</v>
      </c>
      <c r="T66" s="610">
        <f t="shared" ca="1" si="7"/>
        <v>-2033</v>
      </c>
      <c r="U66" s="611">
        <v>42349</v>
      </c>
      <c r="V66" s="615" t="s">
        <v>1634</v>
      </c>
      <c r="W66" s="612"/>
      <c r="X66" s="613"/>
      <c r="Y66" s="613"/>
      <c r="Z66" s="613"/>
      <c r="AA66" s="613"/>
      <c r="AB66" s="613"/>
      <c r="AC66" s="616">
        <v>42303</v>
      </c>
      <c r="AD66" s="346">
        <v>41985</v>
      </c>
      <c r="AE66" s="614">
        <f t="shared" ca="1" si="9"/>
        <v>205</v>
      </c>
      <c r="AF66" s="339" t="s">
        <v>48</v>
      </c>
    </row>
    <row r="67" spans="1:32" s="541" customFormat="1" ht="38.25" x14ac:dyDescent="0.2">
      <c r="A67" s="646" t="s">
        <v>1641</v>
      </c>
      <c r="B67" s="639" t="s">
        <v>1608</v>
      </c>
      <c r="C67" s="639" t="s">
        <v>56</v>
      </c>
      <c r="D67" s="340" t="s">
        <v>1642</v>
      </c>
      <c r="E67" s="340" t="s">
        <v>1643</v>
      </c>
      <c r="F67" s="365">
        <v>3388.04</v>
      </c>
      <c r="G67" s="609"/>
      <c r="H67" s="609"/>
      <c r="I67" s="609"/>
      <c r="J67" s="609"/>
      <c r="K67" s="609"/>
      <c r="L67" s="609"/>
      <c r="M67" s="609"/>
      <c r="N67" s="609"/>
      <c r="O67" s="609"/>
      <c r="P67" s="609"/>
      <c r="Q67" s="609"/>
      <c r="R67" s="609"/>
      <c r="S67" s="656">
        <f t="shared" si="6"/>
        <v>0</v>
      </c>
      <c r="T67" s="610">
        <f t="shared" ca="1" si="7"/>
        <v>-2036</v>
      </c>
      <c r="U67" s="611">
        <v>42346</v>
      </c>
      <c r="V67" s="615" t="s">
        <v>1644</v>
      </c>
      <c r="W67" s="612"/>
      <c r="X67" s="613"/>
      <c r="Y67" s="613"/>
      <c r="Z67" s="613"/>
      <c r="AA67" s="613"/>
      <c r="AB67" s="613"/>
      <c r="AC67" s="616">
        <v>42303</v>
      </c>
      <c r="AD67" s="346">
        <v>41967</v>
      </c>
      <c r="AE67" s="614">
        <f t="shared" ca="1" si="9"/>
        <v>223</v>
      </c>
      <c r="AF67" s="339" t="s">
        <v>41</v>
      </c>
    </row>
    <row r="68" spans="1:32" s="311" customFormat="1" ht="38.25" x14ac:dyDescent="0.2">
      <c r="A68" s="675" t="s">
        <v>1645</v>
      </c>
      <c r="B68" s="339" t="s">
        <v>1608</v>
      </c>
      <c r="C68" s="339" t="s">
        <v>56</v>
      </c>
      <c r="D68" s="340" t="s">
        <v>1646</v>
      </c>
      <c r="E68" s="340" t="s">
        <v>1647</v>
      </c>
      <c r="F68" s="365">
        <v>13399.2</v>
      </c>
      <c r="G68" s="673">
        <v>13399.2</v>
      </c>
      <c r="H68" s="673">
        <v>0</v>
      </c>
      <c r="I68" s="673">
        <v>0</v>
      </c>
      <c r="J68" s="673">
        <v>0</v>
      </c>
      <c r="K68" s="673">
        <v>0</v>
      </c>
      <c r="L68" s="673">
        <v>0</v>
      </c>
      <c r="M68" s="673">
        <v>0</v>
      </c>
      <c r="N68" s="673">
        <v>0</v>
      </c>
      <c r="O68" s="673">
        <v>0</v>
      </c>
      <c r="P68" s="673">
        <v>0</v>
      </c>
      <c r="Q68" s="673">
        <v>0</v>
      </c>
      <c r="R68" s="673">
        <v>0</v>
      </c>
      <c r="S68" s="656">
        <f t="shared" si="6"/>
        <v>13399.2</v>
      </c>
      <c r="T68" s="610">
        <f t="shared" ca="1" si="7"/>
        <v>-538</v>
      </c>
      <c r="U68" s="611">
        <v>43844</v>
      </c>
      <c r="V68" s="615" t="s">
        <v>1648</v>
      </c>
      <c r="W68" s="612"/>
      <c r="X68" s="613"/>
      <c r="Y68" s="613"/>
      <c r="Z68" s="613"/>
      <c r="AA68" s="613"/>
      <c r="AB68" s="613"/>
      <c r="AC68" s="616"/>
      <c r="AD68" s="346">
        <v>42019</v>
      </c>
      <c r="AE68" s="614">
        <f t="shared" ca="1" si="9"/>
        <v>171</v>
      </c>
      <c r="AF68" s="339" t="s">
        <v>48</v>
      </c>
    </row>
    <row r="69" spans="1:32" s="311" customFormat="1" ht="48" customHeight="1" x14ac:dyDescent="0.2">
      <c r="A69" s="675" t="s">
        <v>1651</v>
      </c>
      <c r="B69" s="339"/>
      <c r="C69" s="339"/>
      <c r="D69" s="340" t="s">
        <v>1654</v>
      </c>
      <c r="E69" s="340" t="s">
        <v>1652</v>
      </c>
      <c r="F69" s="365">
        <v>41899.019999999997</v>
      </c>
      <c r="G69" s="673">
        <v>0</v>
      </c>
      <c r="H69" s="673">
        <v>0</v>
      </c>
      <c r="I69" s="673">
        <v>41899.019999999997</v>
      </c>
      <c r="J69" s="673">
        <v>0</v>
      </c>
      <c r="K69" s="673">
        <v>0</v>
      </c>
      <c r="L69" s="673">
        <v>0</v>
      </c>
      <c r="M69" s="673">
        <v>0</v>
      </c>
      <c r="N69" s="673">
        <v>0</v>
      </c>
      <c r="O69" s="673">
        <v>0</v>
      </c>
      <c r="P69" s="673">
        <v>0</v>
      </c>
      <c r="Q69" s="673">
        <v>0</v>
      </c>
      <c r="R69" s="673">
        <v>0</v>
      </c>
      <c r="S69" s="656">
        <f t="shared" si="6"/>
        <v>41899.019999999997</v>
      </c>
      <c r="T69" s="610">
        <f t="shared" ca="1" si="7"/>
        <v>-1225</v>
      </c>
      <c r="U69" s="611">
        <v>43157</v>
      </c>
      <c r="V69" s="615" t="s">
        <v>1653</v>
      </c>
      <c r="W69" s="612"/>
      <c r="X69" s="613"/>
      <c r="Y69" s="613"/>
      <c r="Z69" s="613"/>
      <c r="AA69" s="613"/>
      <c r="AB69" s="613"/>
      <c r="AC69" s="616"/>
      <c r="AD69" s="346">
        <v>42062</v>
      </c>
      <c r="AE69" s="614">
        <f t="shared" ca="1" si="9"/>
        <v>128</v>
      </c>
      <c r="AF69" s="339" t="s">
        <v>41</v>
      </c>
    </row>
    <row r="70" spans="1:32" s="311" customFormat="1" ht="25.5" x14ac:dyDescent="0.2">
      <c r="A70" s="675" t="s">
        <v>1651</v>
      </c>
      <c r="B70" s="339"/>
      <c r="C70" s="339"/>
      <c r="D70" s="340" t="s">
        <v>1655</v>
      </c>
      <c r="E70" s="340" t="s">
        <v>1656</v>
      </c>
      <c r="F70" s="365">
        <v>36600</v>
      </c>
      <c r="G70" s="673">
        <v>0</v>
      </c>
      <c r="H70" s="673">
        <v>0</v>
      </c>
      <c r="I70" s="673">
        <v>0</v>
      </c>
      <c r="J70" s="673">
        <v>36600</v>
      </c>
      <c r="K70" s="673">
        <v>0</v>
      </c>
      <c r="L70" s="673">
        <v>0</v>
      </c>
      <c r="M70" s="673">
        <v>0</v>
      </c>
      <c r="N70" s="673">
        <v>0</v>
      </c>
      <c r="O70" s="673">
        <v>0</v>
      </c>
      <c r="P70" s="673">
        <v>0</v>
      </c>
      <c r="Q70" s="673">
        <v>0</v>
      </c>
      <c r="R70" s="673">
        <v>0</v>
      </c>
      <c r="S70" s="656">
        <f t="shared" si="6"/>
        <v>36600</v>
      </c>
      <c r="T70" s="610">
        <f t="shared" ca="1" si="7"/>
        <v>-1956</v>
      </c>
      <c r="U70" s="611">
        <v>42426</v>
      </c>
      <c r="V70" s="615" t="s">
        <v>1653</v>
      </c>
      <c r="W70" s="612"/>
      <c r="X70" s="613"/>
      <c r="Y70" s="613"/>
      <c r="Z70" s="613"/>
      <c r="AA70" s="613"/>
      <c r="AB70" s="613"/>
      <c r="AC70" s="616">
        <v>42373</v>
      </c>
      <c r="AD70" s="346">
        <v>42062</v>
      </c>
      <c r="AE70" s="614">
        <f t="shared" ca="1" si="9"/>
        <v>128</v>
      </c>
      <c r="AF70" s="339" t="s">
        <v>41</v>
      </c>
    </row>
    <row r="71" spans="1:32" s="541" customFormat="1" ht="51.75" customHeight="1" x14ac:dyDescent="0.2">
      <c r="A71" s="646" t="s">
        <v>1657</v>
      </c>
      <c r="B71" s="339"/>
      <c r="C71" s="339"/>
      <c r="D71" s="340" t="s">
        <v>1658</v>
      </c>
      <c r="E71" s="340" t="s">
        <v>1659</v>
      </c>
      <c r="F71" s="365">
        <v>13500</v>
      </c>
      <c r="G71" s="609">
        <v>0</v>
      </c>
      <c r="H71" s="609">
        <v>0</v>
      </c>
      <c r="I71" s="609">
        <v>13500</v>
      </c>
      <c r="J71" s="609">
        <v>0</v>
      </c>
      <c r="K71" s="609">
        <v>0</v>
      </c>
      <c r="L71" s="609">
        <v>0</v>
      </c>
      <c r="M71" s="609">
        <v>0</v>
      </c>
      <c r="N71" s="609">
        <v>0</v>
      </c>
      <c r="O71" s="609">
        <v>0</v>
      </c>
      <c r="P71" s="609">
        <v>0</v>
      </c>
      <c r="Q71" s="609">
        <v>0</v>
      </c>
      <c r="R71" s="609">
        <v>0</v>
      </c>
      <c r="S71" s="656">
        <f t="shared" ref="S71:S87" si="10">SUM(G71:R71)</f>
        <v>13500</v>
      </c>
      <c r="T71" s="610">
        <f t="shared" ca="1" si="7"/>
        <v>-2278</v>
      </c>
      <c r="U71" s="611">
        <v>42104</v>
      </c>
      <c r="V71" s="615" t="s">
        <v>1660</v>
      </c>
      <c r="W71" s="612"/>
      <c r="X71" s="613"/>
      <c r="Y71" s="613"/>
      <c r="Z71" s="613"/>
      <c r="AA71" s="613"/>
      <c r="AB71" s="613"/>
      <c r="AC71" s="616">
        <v>42116</v>
      </c>
      <c r="AD71" s="346">
        <v>42074</v>
      </c>
      <c r="AE71" s="614">
        <f t="shared" ca="1" si="9"/>
        <v>116</v>
      </c>
      <c r="AF71" s="339" t="s">
        <v>169</v>
      </c>
    </row>
    <row r="72" spans="1:32" s="311" customFormat="1" ht="25.5" x14ac:dyDescent="0.2">
      <c r="A72" s="675" t="s">
        <v>1706</v>
      </c>
      <c r="B72" s="339" t="s">
        <v>1707</v>
      </c>
      <c r="C72" s="339" t="s">
        <v>56</v>
      </c>
      <c r="D72" s="340" t="s">
        <v>580</v>
      </c>
      <c r="E72" s="340" t="s">
        <v>1708</v>
      </c>
      <c r="F72" s="365">
        <v>3000</v>
      </c>
      <c r="G72" s="673">
        <v>0</v>
      </c>
      <c r="H72" s="673">
        <v>0</v>
      </c>
      <c r="I72" s="673">
        <v>0</v>
      </c>
      <c r="J72" s="673">
        <v>0</v>
      </c>
      <c r="K72" s="673">
        <v>0</v>
      </c>
      <c r="L72" s="673">
        <v>0</v>
      </c>
      <c r="M72" s="673">
        <v>250</v>
      </c>
      <c r="N72" s="673">
        <v>0</v>
      </c>
      <c r="O72" s="673">
        <v>251.25</v>
      </c>
      <c r="P72" s="673">
        <v>250</v>
      </c>
      <c r="Q72" s="673">
        <v>250</v>
      </c>
      <c r="R72" s="673">
        <v>250</v>
      </c>
      <c r="S72" s="656">
        <f t="shared" si="10"/>
        <v>1251.25</v>
      </c>
      <c r="T72" s="610">
        <f t="shared" ca="1" si="7"/>
        <v>-1843</v>
      </c>
      <c r="U72" s="611">
        <v>42539</v>
      </c>
      <c r="V72" s="615" t="s">
        <v>1709</v>
      </c>
      <c r="W72" s="612"/>
      <c r="X72" s="613"/>
      <c r="Y72" s="613"/>
      <c r="Z72" s="613"/>
      <c r="AA72" s="613"/>
      <c r="AB72" s="613"/>
      <c r="AC72" s="616"/>
      <c r="AD72" s="346">
        <v>42174</v>
      </c>
      <c r="AE72" s="614">
        <f t="shared" ca="1" si="9"/>
        <v>16</v>
      </c>
      <c r="AF72" s="339" t="s">
        <v>48</v>
      </c>
    </row>
    <row r="73" spans="1:32" s="308" customFormat="1" ht="51" x14ac:dyDescent="0.2">
      <c r="A73" s="646" t="s">
        <v>1710</v>
      </c>
      <c r="B73" s="339" t="s">
        <v>1711</v>
      </c>
      <c r="C73" s="339" t="s">
        <v>56</v>
      </c>
      <c r="D73" s="340" t="s">
        <v>1542</v>
      </c>
      <c r="E73" s="340" t="s">
        <v>1712</v>
      </c>
      <c r="F73" s="365">
        <v>6435</v>
      </c>
      <c r="G73" s="609">
        <v>0</v>
      </c>
      <c r="H73" s="609">
        <v>0</v>
      </c>
      <c r="I73" s="609">
        <v>0</v>
      </c>
      <c r="J73" s="609">
        <v>0</v>
      </c>
      <c r="K73" s="609">
        <v>0</v>
      </c>
      <c r="L73" s="609">
        <v>5791.5</v>
      </c>
      <c r="M73" s="609">
        <v>0</v>
      </c>
      <c r="N73" s="609">
        <v>0</v>
      </c>
      <c r="O73" s="609">
        <v>0</v>
      </c>
      <c r="P73" s="609">
        <v>0</v>
      </c>
      <c r="Q73" s="609">
        <v>0</v>
      </c>
      <c r="R73" s="609">
        <v>0</v>
      </c>
      <c r="S73" s="656">
        <f t="shared" si="10"/>
        <v>5791.5</v>
      </c>
      <c r="T73" s="610">
        <f t="shared" ref="T73:T87" ca="1" si="11">U73-$AE$3</f>
        <v>-2229</v>
      </c>
      <c r="U73" s="611">
        <v>42153</v>
      </c>
      <c r="V73" s="345" t="s">
        <v>1713</v>
      </c>
      <c r="W73" s="612"/>
      <c r="X73" s="613"/>
      <c r="Y73" s="613"/>
      <c r="Z73" s="613"/>
      <c r="AA73" s="613"/>
      <c r="AB73" s="613"/>
      <c r="AC73" s="616"/>
      <c r="AD73" s="346">
        <v>42138</v>
      </c>
      <c r="AE73" s="614">
        <f t="shared" ca="1" si="9"/>
        <v>52</v>
      </c>
      <c r="AF73" s="339" t="s">
        <v>96</v>
      </c>
    </row>
    <row r="74" spans="1:32" s="311" customFormat="1" ht="38.25" x14ac:dyDescent="0.2">
      <c r="A74" s="675" t="s">
        <v>1714</v>
      </c>
      <c r="B74" s="339" t="s">
        <v>1608</v>
      </c>
      <c r="C74" s="339" t="s">
        <v>56</v>
      </c>
      <c r="D74" s="340" t="s">
        <v>83</v>
      </c>
      <c r="E74" s="340" t="s">
        <v>1492</v>
      </c>
      <c r="F74" s="365">
        <v>11340</v>
      </c>
      <c r="G74" s="673">
        <v>654</v>
      </c>
      <c r="H74" s="673">
        <v>951.3</v>
      </c>
      <c r="I74" s="673">
        <v>711.9</v>
      </c>
      <c r="J74" s="673">
        <v>976.5</v>
      </c>
      <c r="K74" s="673">
        <v>674.1</v>
      </c>
      <c r="L74" s="673">
        <v>888.3</v>
      </c>
      <c r="M74" s="673">
        <v>844.2</v>
      </c>
      <c r="N74" s="673">
        <v>976.5</v>
      </c>
      <c r="O74" s="673">
        <v>970.2</v>
      </c>
      <c r="P74" s="673">
        <v>976.5</v>
      </c>
      <c r="Q74" s="673">
        <v>982.8</v>
      </c>
      <c r="R74" s="673">
        <v>1121.4000000000001</v>
      </c>
      <c r="S74" s="656">
        <f t="shared" si="10"/>
        <v>10727.699999999999</v>
      </c>
      <c r="T74" s="610">
        <f t="shared" ca="1" si="11"/>
        <v>-1991</v>
      </c>
      <c r="U74" s="611">
        <v>42391</v>
      </c>
      <c r="V74" s="615" t="s">
        <v>1715</v>
      </c>
      <c r="W74" s="612"/>
      <c r="X74" s="613"/>
      <c r="Y74" s="613"/>
      <c r="Z74" s="613"/>
      <c r="AA74" s="613"/>
      <c r="AB74" s="613"/>
      <c r="AC74" s="616">
        <v>42348</v>
      </c>
      <c r="AD74" s="346">
        <v>42027</v>
      </c>
      <c r="AE74" s="614">
        <f t="shared" ca="1" si="9"/>
        <v>163</v>
      </c>
      <c r="AF74" s="339" t="s">
        <v>48</v>
      </c>
    </row>
    <row r="75" spans="1:32" s="311" customFormat="1" ht="25.5" x14ac:dyDescent="0.2">
      <c r="A75" s="675" t="s">
        <v>1722</v>
      </c>
      <c r="B75" s="339" t="s">
        <v>1608</v>
      </c>
      <c r="C75" s="339" t="s">
        <v>56</v>
      </c>
      <c r="D75" s="340" t="s">
        <v>50</v>
      </c>
      <c r="E75" s="340" t="s">
        <v>1723</v>
      </c>
      <c r="F75" s="365">
        <v>12078.36</v>
      </c>
      <c r="G75" s="673">
        <v>0</v>
      </c>
      <c r="H75" s="673">
        <v>0</v>
      </c>
      <c r="I75" s="673">
        <v>0</v>
      </c>
      <c r="J75" s="673">
        <v>0</v>
      </c>
      <c r="K75" s="673">
        <f>966.03+86.5</f>
        <v>1052.53</v>
      </c>
      <c r="L75" s="673">
        <f>920.03+86.5</f>
        <v>1006.53</v>
      </c>
      <c r="M75" s="673">
        <f>920.03+86.5</f>
        <v>1006.53</v>
      </c>
      <c r="N75" s="673">
        <f>920.03+86.5</f>
        <v>1006.53</v>
      </c>
      <c r="O75" s="673">
        <f>920.03+86.5</f>
        <v>1006.53</v>
      </c>
      <c r="P75" s="673">
        <f>86.5+920.03</f>
        <v>1006.53</v>
      </c>
      <c r="Q75" s="673">
        <f>920.03+86.5</f>
        <v>1006.53</v>
      </c>
      <c r="R75" s="673">
        <f>920.03+86.5</f>
        <v>1006.53</v>
      </c>
      <c r="S75" s="656">
        <f t="shared" si="10"/>
        <v>8098.2399999999989</v>
      </c>
      <c r="T75" s="610">
        <f t="shared" ca="1" si="11"/>
        <v>-1900</v>
      </c>
      <c r="U75" s="611">
        <v>42482</v>
      </c>
      <c r="V75" s="615" t="s">
        <v>1724</v>
      </c>
      <c r="W75" s="612"/>
      <c r="X75" s="613"/>
      <c r="Y75" s="613"/>
      <c r="Z75" s="613"/>
      <c r="AA75" s="613"/>
      <c r="AB75" s="613"/>
      <c r="AC75" s="616"/>
      <c r="AD75" s="346">
        <v>42117</v>
      </c>
      <c r="AE75" s="614">
        <f t="shared" ca="1" si="9"/>
        <v>73</v>
      </c>
      <c r="AF75" s="339" t="s">
        <v>54</v>
      </c>
    </row>
    <row r="76" spans="1:32" s="541" customFormat="1" ht="76.5" x14ac:dyDescent="0.2">
      <c r="A76" s="646" t="s">
        <v>1728</v>
      </c>
      <c r="B76" s="339" t="s">
        <v>1729</v>
      </c>
      <c r="C76" s="339"/>
      <c r="D76" s="340" t="s">
        <v>1730</v>
      </c>
      <c r="E76" s="340" t="s">
        <v>1731</v>
      </c>
      <c r="F76" s="365">
        <v>6000</v>
      </c>
      <c r="G76" s="609">
        <v>0</v>
      </c>
      <c r="H76" s="609">
        <v>0</v>
      </c>
      <c r="I76" s="609">
        <v>0</v>
      </c>
      <c r="J76" s="609">
        <v>0</v>
      </c>
      <c r="K76" s="609">
        <v>0</v>
      </c>
      <c r="L76" s="609">
        <v>0</v>
      </c>
      <c r="M76" s="609">
        <v>0</v>
      </c>
      <c r="N76" s="609">
        <v>0</v>
      </c>
      <c r="O76" s="609">
        <v>0</v>
      </c>
      <c r="P76" s="609">
        <v>0</v>
      </c>
      <c r="Q76" s="609">
        <v>0</v>
      </c>
      <c r="R76" s="609">
        <v>0</v>
      </c>
      <c r="S76" s="656">
        <f t="shared" si="10"/>
        <v>0</v>
      </c>
      <c r="T76" s="610">
        <f t="shared" ca="1" si="11"/>
        <v>-1749</v>
      </c>
      <c r="U76" s="611">
        <v>42633</v>
      </c>
      <c r="V76" s="615" t="s">
        <v>1732</v>
      </c>
      <c r="W76" s="612"/>
      <c r="X76" s="613"/>
      <c r="Y76" s="613"/>
      <c r="Z76" s="613"/>
      <c r="AA76" s="613"/>
      <c r="AB76" s="613"/>
      <c r="AC76" s="616"/>
      <c r="AD76" s="346">
        <v>42268</v>
      </c>
      <c r="AE76" s="614">
        <f t="shared" ca="1" si="9"/>
        <v>-78</v>
      </c>
      <c r="AF76" s="339" t="s">
        <v>1426</v>
      </c>
    </row>
    <row r="77" spans="1:32" s="311" customFormat="1" ht="38.25" x14ac:dyDescent="0.2">
      <c r="A77" s="675" t="s">
        <v>1733</v>
      </c>
      <c r="B77" s="339"/>
      <c r="C77" s="339" t="s">
        <v>1734</v>
      </c>
      <c r="D77" s="340" t="s">
        <v>1735</v>
      </c>
      <c r="E77" s="340" t="s">
        <v>1736</v>
      </c>
      <c r="F77" s="365">
        <v>550879.92000000004</v>
      </c>
      <c r="G77" s="673">
        <v>0</v>
      </c>
      <c r="H77" s="673">
        <v>0</v>
      </c>
      <c r="I77" s="673">
        <v>0</v>
      </c>
      <c r="J77" s="673">
        <v>0</v>
      </c>
      <c r="K77" s="673">
        <v>0</v>
      </c>
      <c r="L77" s="673">
        <v>0</v>
      </c>
      <c r="M77" s="673">
        <v>0</v>
      </c>
      <c r="N77" s="673">
        <v>0</v>
      </c>
      <c r="O77" s="673">
        <v>43476.6</v>
      </c>
      <c r="P77" s="673">
        <v>43476.6</v>
      </c>
      <c r="Q77" s="673">
        <v>43476.6</v>
      </c>
      <c r="R77" s="673">
        <v>43476.6</v>
      </c>
      <c r="S77" s="656">
        <f t="shared" si="10"/>
        <v>173906.4</v>
      </c>
      <c r="T77" s="610">
        <f t="shared" ca="1" si="11"/>
        <v>-1798</v>
      </c>
      <c r="U77" s="611">
        <v>42584</v>
      </c>
      <c r="V77" s="615" t="s">
        <v>1740</v>
      </c>
      <c r="W77" s="612"/>
      <c r="X77" s="613"/>
      <c r="Y77" s="613"/>
      <c r="Z77" s="613"/>
      <c r="AA77" s="613"/>
      <c r="AB77" s="613"/>
      <c r="AC77" s="616"/>
      <c r="AD77" s="346">
        <v>42219</v>
      </c>
      <c r="AE77" s="614">
        <f t="shared" ca="1" si="9"/>
        <v>-29</v>
      </c>
      <c r="AF77" s="339" t="s">
        <v>48</v>
      </c>
    </row>
    <row r="78" spans="1:32" s="541" customFormat="1" ht="38.25" x14ac:dyDescent="0.2">
      <c r="A78" s="646" t="s">
        <v>1737</v>
      </c>
      <c r="B78" s="339" t="s">
        <v>1711</v>
      </c>
      <c r="C78" s="339"/>
      <c r="D78" s="340" t="s">
        <v>1738</v>
      </c>
      <c r="E78" s="340" t="s">
        <v>1739</v>
      </c>
      <c r="F78" s="365">
        <v>7300</v>
      </c>
      <c r="G78" s="609">
        <v>0</v>
      </c>
      <c r="H78" s="609">
        <v>0</v>
      </c>
      <c r="I78" s="609">
        <v>0</v>
      </c>
      <c r="J78" s="609">
        <v>0</v>
      </c>
      <c r="K78" s="609">
        <v>0</v>
      </c>
      <c r="L78" s="609">
        <v>0</v>
      </c>
      <c r="M78" s="609">
        <v>7300</v>
      </c>
      <c r="N78" s="609">
        <v>0</v>
      </c>
      <c r="O78" s="609">
        <v>0</v>
      </c>
      <c r="P78" s="609">
        <v>0</v>
      </c>
      <c r="Q78" s="609">
        <v>0</v>
      </c>
      <c r="R78" s="609">
        <v>0</v>
      </c>
      <c r="S78" s="656">
        <f t="shared" si="10"/>
        <v>7300</v>
      </c>
      <c r="T78" s="617">
        <f t="shared" ca="1" si="11"/>
        <v>-2144</v>
      </c>
      <c r="U78" s="611">
        <v>42238</v>
      </c>
      <c r="V78" s="345" t="s">
        <v>1741</v>
      </c>
      <c r="W78" s="612"/>
      <c r="X78" s="613"/>
      <c r="Y78" s="613"/>
      <c r="Z78" s="613"/>
      <c r="AA78" s="613"/>
      <c r="AB78" s="613"/>
      <c r="AC78" s="616"/>
      <c r="AD78" s="346">
        <v>42208</v>
      </c>
      <c r="AE78" s="618">
        <f t="shared" ca="1" si="9"/>
        <v>-18</v>
      </c>
      <c r="AF78" s="339" t="s">
        <v>1454</v>
      </c>
    </row>
    <row r="79" spans="1:32" s="311" customFormat="1" ht="51" x14ac:dyDescent="0.2">
      <c r="A79" s="675" t="s">
        <v>1742</v>
      </c>
      <c r="B79" s="339" t="s">
        <v>1711</v>
      </c>
      <c r="C79" s="339"/>
      <c r="D79" s="340" t="s">
        <v>1743</v>
      </c>
      <c r="E79" s="340" t="s">
        <v>1744</v>
      </c>
      <c r="F79" s="365">
        <v>4500</v>
      </c>
      <c r="G79" s="673">
        <v>0</v>
      </c>
      <c r="H79" s="673">
        <v>0</v>
      </c>
      <c r="I79" s="673">
        <v>0</v>
      </c>
      <c r="J79" s="673">
        <v>0</v>
      </c>
      <c r="K79" s="673">
        <v>0</v>
      </c>
      <c r="L79" s="673">
        <v>0</v>
      </c>
      <c r="M79" s="673">
        <v>0</v>
      </c>
      <c r="N79" s="673">
        <v>0</v>
      </c>
      <c r="O79" s="673">
        <v>450</v>
      </c>
      <c r="P79" s="673">
        <v>450</v>
      </c>
      <c r="Q79" s="673">
        <v>450</v>
      </c>
      <c r="R79" s="673">
        <v>450</v>
      </c>
      <c r="S79" s="656">
        <f t="shared" si="10"/>
        <v>1800</v>
      </c>
      <c r="T79" s="610">
        <f t="shared" ca="1" si="11"/>
        <v>-1836</v>
      </c>
      <c r="U79" s="611">
        <v>42546</v>
      </c>
      <c r="V79" s="615" t="s">
        <v>1751</v>
      </c>
      <c r="W79" s="612"/>
      <c r="X79" s="613"/>
      <c r="Y79" s="613"/>
      <c r="Z79" s="613"/>
      <c r="AA79" s="613"/>
      <c r="AB79" s="613"/>
      <c r="AC79" s="616"/>
      <c r="AD79" s="346">
        <v>42242</v>
      </c>
      <c r="AE79" s="614">
        <f t="shared" ca="1" si="9"/>
        <v>-52</v>
      </c>
      <c r="AF79" s="339" t="s">
        <v>41</v>
      </c>
    </row>
    <row r="80" spans="1:32" s="308" customFormat="1" ht="25.5" x14ac:dyDescent="0.2">
      <c r="A80" s="646" t="s">
        <v>1746</v>
      </c>
      <c r="B80" s="339"/>
      <c r="C80" s="339" t="s">
        <v>1747</v>
      </c>
      <c r="D80" s="340" t="s">
        <v>1748</v>
      </c>
      <c r="E80" s="340" t="s">
        <v>1749</v>
      </c>
      <c r="F80" s="365">
        <v>73300</v>
      </c>
      <c r="G80" s="609">
        <v>0</v>
      </c>
      <c r="H80" s="609">
        <v>0</v>
      </c>
      <c r="I80" s="609">
        <v>0</v>
      </c>
      <c r="J80" s="609">
        <v>0</v>
      </c>
      <c r="K80" s="609">
        <v>0</v>
      </c>
      <c r="L80" s="609">
        <v>0</v>
      </c>
      <c r="M80" s="609">
        <v>0</v>
      </c>
      <c r="N80" s="609">
        <v>0</v>
      </c>
      <c r="O80" s="609">
        <v>0</v>
      </c>
      <c r="P80" s="609">
        <v>0</v>
      </c>
      <c r="Q80" s="609">
        <v>0</v>
      </c>
      <c r="R80" s="609">
        <v>1760</v>
      </c>
      <c r="S80" s="656">
        <f t="shared" si="10"/>
        <v>1760</v>
      </c>
      <c r="T80" s="610">
        <f t="shared" ca="1" si="11"/>
        <v>-1985</v>
      </c>
      <c r="U80" s="611">
        <v>42397</v>
      </c>
      <c r="V80" s="615" t="s">
        <v>1750</v>
      </c>
      <c r="W80" s="612"/>
      <c r="X80" s="613"/>
      <c r="Y80" s="613"/>
      <c r="Z80" s="613"/>
      <c r="AA80" s="613"/>
      <c r="AB80" s="613"/>
      <c r="AC80" s="616">
        <v>42348</v>
      </c>
      <c r="AD80" s="346">
        <v>42276</v>
      </c>
      <c r="AE80" s="614">
        <f t="shared" ca="1" si="9"/>
        <v>-86</v>
      </c>
      <c r="AF80" s="339" t="s">
        <v>1786</v>
      </c>
    </row>
    <row r="81" spans="1:32" s="541" customFormat="1" ht="38.25" x14ac:dyDescent="0.2">
      <c r="A81" s="646" t="s">
        <v>1756</v>
      </c>
      <c r="B81" s="339"/>
      <c r="C81" s="339" t="s">
        <v>1757</v>
      </c>
      <c r="D81" s="340" t="s">
        <v>1758</v>
      </c>
      <c r="E81" s="340" t="s">
        <v>1762</v>
      </c>
      <c r="F81" s="651">
        <v>0</v>
      </c>
      <c r="G81" s="609">
        <v>0</v>
      </c>
      <c r="H81" s="609">
        <v>0</v>
      </c>
      <c r="I81" s="609">
        <v>0</v>
      </c>
      <c r="J81" s="609">
        <v>0</v>
      </c>
      <c r="K81" s="609">
        <v>0</v>
      </c>
      <c r="L81" s="609">
        <v>0</v>
      </c>
      <c r="M81" s="609">
        <v>0</v>
      </c>
      <c r="N81" s="609">
        <v>0</v>
      </c>
      <c r="O81" s="609">
        <v>0</v>
      </c>
      <c r="P81" s="609">
        <v>0</v>
      </c>
      <c r="Q81" s="609">
        <v>0</v>
      </c>
      <c r="R81" s="609">
        <v>0</v>
      </c>
      <c r="S81" s="656">
        <f t="shared" si="10"/>
        <v>0</v>
      </c>
      <c r="T81" s="610">
        <f t="shared" ca="1" si="11"/>
        <v>-1720</v>
      </c>
      <c r="U81" s="611">
        <v>42662</v>
      </c>
      <c r="V81" s="615" t="s">
        <v>1764</v>
      </c>
      <c r="W81" s="612"/>
      <c r="X81" s="613"/>
      <c r="Y81" s="613"/>
      <c r="Z81" s="613"/>
      <c r="AA81" s="613"/>
      <c r="AB81" s="613"/>
      <c r="AC81" s="616"/>
      <c r="AD81" s="346">
        <v>42297</v>
      </c>
      <c r="AE81" s="614">
        <f t="shared" ca="1" si="9"/>
        <v>-107</v>
      </c>
      <c r="AF81" s="339" t="s">
        <v>1763</v>
      </c>
    </row>
    <row r="82" spans="1:32" s="541" customFormat="1" ht="38.25" x14ac:dyDescent="0.2">
      <c r="A82" s="646" t="s">
        <v>1756</v>
      </c>
      <c r="B82" s="339"/>
      <c r="C82" s="339" t="s">
        <v>1757</v>
      </c>
      <c r="D82" s="340" t="s">
        <v>1759</v>
      </c>
      <c r="E82" s="340" t="s">
        <v>1762</v>
      </c>
      <c r="F82" s="651">
        <v>0</v>
      </c>
      <c r="G82" s="609">
        <v>0</v>
      </c>
      <c r="H82" s="609">
        <v>0</v>
      </c>
      <c r="I82" s="609">
        <v>0</v>
      </c>
      <c r="J82" s="609">
        <v>0</v>
      </c>
      <c r="K82" s="609">
        <v>0</v>
      </c>
      <c r="L82" s="609">
        <v>0</v>
      </c>
      <c r="M82" s="609">
        <v>0</v>
      </c>
      <c r="N82" s="609">
        <v>0</v>
      </c>
      <c r="O82" s="609">
        <v>0</v>
      </c>
      <c r="P82" s="609">
        <v>0</v>
      </c>
      <c r="Q82" s="609">
        <v>0</v>
      </c>
      <c r="R82" s="609">
        <v>0</v>
      </c>
      <c r="S82" s="656">
        <f t="shared" si="10"/>
        <v>0</v>
      </c>
      <c r="T82" s="610">
        <f t="shared" ca="1" si="11"/>
        <v>-1720</v>
      </c>
      <c r="U82" s="611">
        <v>42662</v>
      </c>
      <c r="V82" s="615" t="s">
        <v>1764</v>
      </c>
      <c r="W82" s="612"/>
      <c r="X82" s="613"/>
      <c r="Y82" s="613"/>
      <c r="Z82" s="613"/>
      <c r="AA82" s="613"/>
      <c r="AB82" s="613"/>
      <c r="AC82" s="616"/>
      <c r="AD82" s="346">
        <v>42297</v>
      </c>
      <c r="AE82" s="614">
        <f t="shared" ca="1" si="9"/>
        <v>-107</v>
      </c>
      <c r="AF82" s="339" t="s">
        <v>1763</v>
      </c>
    </row>
    <row r="83" spans="1:32" s="541" customFormat="1" ht="38.25" x14ac:dyDescent="0.2">
      <c r="A83" s="646" t="s">
        <v>1756</v>
      </c>
      <c r="B83" s="339"/>
      <c r="C83" s="339" t="s">
        <v>1757</v>
      </c>
      <c r="D83" s="340" t="s">
        <v>1760</v>
      </c>
      <c r="E83" s="340" t="s">
        <v>1762</v>
      </c>
      <c r="F83" s="651">
        <v>0</v>
      </c>
      <c r="G83" s="609">
        <v>0</v>
      </c>
      <c r="H83" s="609">
        <v>0</v>
      </c>
      <c r="I83" s="609">
        <v>0</v>
      </c>
      <c r="J83" s="609">
        <v>0</v>
      </c>
      <c r="K83" s="609">
        <v>0</v>
      </c>
      <c r="L83" s="609">
        <v>0</v>
      </c>
      <c r="M83" s="609">
        <v>0</v>
      </c>
      <c r="N83" s="609">
        <v>0</v>
      </c>
      <c r="O83" s="609">
        <v>0</v>
      </c>
      <c r="P83" s="609">
        <v>0</v>
      </c>
      <c r="Q83" s="609">
        <v>0</v>
      </c>
      <c r="R83" s="609">
        <v>0</v>
      </c>
      <c r="S83" s="656">
        <f t="shared" si="10"/>
        <v>0</v>
      </c>
      <c r="T83" s="610">
        <f t="shared" ca="1" si="11"/>
        <v>-1720</v>
      </c>
      <c r="U83" s="611">
        <v>42662</v>
      </c>
      <c r="V83" s="615" t="s">
        <v>1764</v>
      </c>
      <c r="W83" s="612"/>
      <c r="X83" s="613"/>
      <c r="Y83" s="613"/>
      <c r="Z83" s="613"/>
      <c r="AA83" s="613"/>
      <c r="AB83" s="613"/>
      <c r="AC83" s="616"/>
      <c r="AD83" s="346">
        <v>42297</v>
      </c>
      <c r="AE83" s="614">
        <f t="shared" ca="1" si="9"/>
        <v>-107</v>
      </c>
      <c r="AF83" s="339" t="s">
        <v>1763</v>
      </c>
    </row>
    <row r="84" spans="1:32" s="541" customFormat="1" ht="51" x14ac:dyDescent="0.2">
      <c r="A84" s="646" t="s">
        <v>1756</v>
      </c>
      <c r="B84" s="339"/>
      <c r="C84" s="339" t="s">
        <v>1757</v>
      </c>
      <c r="D84" s="340" t="s">
        <v>1761</v>
      </c>
      <c r="E84" s="340" t="s">
        <v>1762</v>
      </c>
      <c r="F84" s="651">
        <v>0</v>
      </c>
      <c r="G84" s="609">
        <v>0</v>
      </c>
      <c r="H84" s="609">
        <v>0</v>
      </c>
      <c r="I84" s="609">
        <v>0</v>
      </c>
      <c r="J84" s="609">
        <v>0</v>
      </c>
      <c r="K84" s="609">
        <v>0</v>
      </c>
      <c r="L84" s="609">
        <v>0</v>
      </c>
      <c r="M84" s="609">
        <v>0</v>
      </c>
      <c r="N84" s="609">
        <v>0</v>
      </c>
      <c r="O84" s="609">
        <v>0</v>
      </c>
      <c r="P84" s="609">
        <v>0</v>
      </c>
      <c r="Q84" s="609">
        <v>0</v>
      </c>
      <c r="R84" s="609">
        <v>0</v>
      </c>
      <c r="S84" s="656">
        <f t="shared" si="10"/>
        <v>0</v>
      </c>
      <c r="T84" s="610">
        <f t="shared" ca="1" si="11"/>
        <v>-1720</v>
      </c>
      <c r="U84" s="611">
        <v>42662</v>
      </c>
      <c r="V84" s="615" t="s">
        <v>1764</v>
      </c>
      <c r="W84" s="612"/>
      <c r="X84" s="613"/>
      <c r="Y84" s="613"/>
      <c r="Z84" s="613"/>
      <c r="AA84" s="613"/>
      <c r="AB84" s="613"/>
      <c r="AC84" s="616"/>
      <c r="AD84" s="346">
        <v>42297</v>
      </c>
      <c r="AE84" s="614">
        <f t="shared" ca="1" si="9"/>
        <v>-107</v>
      </c>
      <c r="AF84" s="339" t="s">
        <v>1763</v>
      </c>
    </row>
    <row r="85" spans="1:32" s="541" customFormat="1" ht="38.25" x14ac:dyDescent="0.2">
      <c r="A85" s="646" t="s">
        <v>1770</v>
      </c>
      <c r="B85" s="339"/>
      <c r="C85" s="339" t="s">
        <v>1771</v>
      </c>
      <c r="D85" s="340" t="s">
        <v>44</v>
      </c>
      <c r="E85" s="340" t="s">
        <v>1772</v>
      </c>
      <c r="F85" s="365">
        <f>5282.99*12</f>
        <v>63395.88</v>
      </c>
      <c r="G85" s="609">
        <v>0</v>
      </c>
      <c r="H85" s="609">
        <v>0</v>
      </c>
      <c r="I85" s="609">
        <v>0</v>
      </c>
      <c r="J85" s="609">
        <v>0</v>
      </c>
      <c r="K85" s="609">
        <v>0</v>
      </c>
      <c r="L85" s="609">
        <v>0</v>
      </c>
      <c r="M85" s="609">
        <v>0</v>
      </c>
      <c r="N85" s="609">
        <v>0</v>
      </c>
      <c r="O85" s="609">
        <v>0</v>
      </c>
      <c r="P85" s="609">
        <v>0</v>
      </c>
      <c r="Q85" s="609">
        <v>0</v>
      </c>
      <c r="R85" s="609">
        <v>0</v>
      </c>
      <c r="S85" s="656">
        <f t="shared" si="10"/>
        <v>0</v>
      </c>
      <c r="T85" s="617">
        <f t="shared" ca="1" si="11"/>
        <v>-1679</v>
      </c>
      <c r="U85" s="611">
        <v>42703</v>
      </c>
      <c r="V85" s="345" t="s">
        <v>1773</v>
      </c>
      <c r="W85" s="612"/>
      <c r="X85" s="613"/>
      <c r="Y85" s="613"/>
      <c r="Z85" s="613"/>
      <c r="AA85" s="613"/>
      <c r="AB85" s="613"/>
      <c r="AC85" s="616"/>
      <c r="AD85" s="346">
        <v>42338</v>
      </c>
      <c r="AE85" s="618">
        <f t="shared" ca="1" si="9"/>
        <v>-148</v>
      </c>
      <c r="AF85" s="339" t="s">
        <v>48</v>
      </c>
    </row>
    <row r="86" spans="1:32" s="541" customFormat="1" ht="25.5" x14ac:dyDescent="0.2">
      <c r="A86" s="646" t="s">
        <v>1774</v>
      </c>
      <c r="B86" s="639" t="s">
        <v>1775</v>
      </c>
      <c r="C86" s="339"/>
      <c r="D86" s="340" t="s">
        <v>973</v>
      </c>
      <c r="E86" s="340" t="s">
        <v>1438</v>
      </c>
      <c r="F86" s="365">
        <v>8000</v>
      </c>
      <c r="G86" s="609">
        <v>0</v>
      </c>
      <c r="H86" s="609">
        <v>0</v>
      </c>
      <c r="I86" s="609">
        <v>0</v>
      </c>
      <c r="J86" s="609">
        <v>0</v>
      </c>
      <c r="K86" s="609">
        <v>0</v>
      </c>
      <c r="L86" s="609">
        <v>0</v>
      </c>
      <c r="M86" s="609">
        <v>0</v>
      </c>
      <c r="N86" s="609">
        <v>0</v>
      </c>
      <c r="O86" s="609">
        <v>0</v>
      </c>
      <c r="P86" s="609">
        <v>0</v>
      </c>
      <c r="Q86" s="609">
        <v>0</v>
      </c>
      <c r="R86" s="609">
        <v>8000</v>
      </c>
      <c r="S86" s="656">
        <f t="shared" si="10"/>
        <v>8000</v>
      </c>
      <c r="T86" s="617">
        <f t="shared" ca="1" si="11"/>
        <v>-1693</v>
      </c>
      <c r="U86" s="611">
        <v>42689</v>
      </c>
      <c r="V86" s="345" t="s">
        <v>1776</v>
      </c>
      <c r="W86" s="612"/>
      <c r="X86" s="613"/>
      <c r="Y86" s="613"/>
      <c r="Z86" s="613"/>
      <c r="AA86" s="613"/>
      <c r="AB86" s="613"/>
      <c r="AC86" s="616"/>
      <c r="AD86" s="346">
        <v>42324</v>
      </c>
      <c r="AE86" s="618">
        <f t="shared" ca="1" si="9"/>
        <v>-134</v>
      </c>
      <c r="AF86" s="339" t="s">
        <v>649</v>
      </c>
    </row>
    <row r="87" spans="1:32" s="541" customFormat="1" ht="25.5" x14ac:dyDescent="0.2">
      <c r="A87" s="646" t="s">
        <v>1777</v>
      </c>
      <c r="B87" s="639" t="s">
        <v>1775</v>
      </c>
      <c r="C87" s="339"/>
      <c r="D87" s="340" t="s">
        <v>1778</v>
      </c>
      <c r="E87" s="340" t="s">
        <v>1779</v>
      </c>
      <c r="F87" s="365">
        <v>14400</v>
      </c>
      <c r="G87" s="609">
        <v>0</v>
      </c>
      <c r="H87" s="609">
        <v>0</v>
      </c>
      <c r="I87" s="609">
        <v>0</v>
      </c>
      <c r="J87" s="609">
        <v>0</v>
      </c>
      <c r="K87" s="609">
        <v>0</v>
      </c>
      <c r="L87" s="609">
        <v>0</v>
      </c>
      <c r="M87" s="609">
        <v>0</v>
      </c>
      <c r="N87" s="609">
        <v>0</v>
      </c>
      <c r="O87" s="609">
        <v>0</v>
      </c>
      <c r="P87" s="609">
        <v>0</v>
      </c>
      <c r="Q87" s="609">
        <v>0</v>
      </c>
      <c r="R87" s="609">
        <v>1200</v>
      </c>
      <c r="S87" s="656">
        <f t="shared" si="10"/>
        <v>1200</v>
      </c>
      <c r="T87" s="617">
        <f t="shared" ca="1" si="11"/>
        <v>-1679</v>
      </c>
      <c r="U87" s="611">
        <v>42703</v>
      </c>
      <c r="V87" s="345" t="s">
        <v>1773</v>
      </c>
      <c r="W87" s="612"/>
      <c r="X87" s="613"/>
      <c r="Y87" s="613"/>
      <c r="Z87" s="613"/>
      <c r="AA87" s="613"/>
      <c r="AB87" s="613"/>
      <c r="AC87" s="616"/>
      <c r="AD87" s="346">
        <v>42338</v>
      </c>
      <c r="AE87" s="618">
        <f t="shared" ca="1" si="9"/>
        <v>-148</v>
      </c>
      <c r="AF87" s="339" t="s">
        <v>1454</v>
      </c>
    </row>
    <row r="88" spans="1:32" s="541" customFormat="1" ht="63.75" x14ac:dyDescent="0.2">
      <c r="A88" s="646" t="s">
        <v>1792</v>
      </c>
      <c r="B88" s="339"/>
      <c r="C88" s="339" t="s">
        <v>1793</v>
      </c>
      <c r="D88" s="340" t="s">
        <v>586</v>
      </c>
      <c r="E88" s="340" t="s">
        <v>1794</v>
      </c>
      <c r="F88" s="365" t="s">
        <v>314</v>
      </c>
      <c r="G88" s="609">
        <v>0</v>
      </c>
      <c r="H88" s="609">
        <v>0</v>
      </c>
      <c r="I88" s="609">
        <v>0</v>
      </c>
      <c r="J88" s="609">
        <v>0</v>
      </c>
      <c r="K88" s="609">
        <v>0</v>
      </c>
      <c r="L88" s="609">
        <v>0</v>
      </c>
      <c r="M88" s="609">
        <v>0</v>
      </c>
      <c r="N88" s="609">
        <v>0</v>
      </c>
      <c r="O88" s="609">
        <v>0</v>
      </c>
      <c r="P88" s="609">
        <v>0</v>
      </c>
      <c r="Q88" s="609">
        <v>0</v>
      </c>
      <c r="R88" s="609">
        <v>0</v>
      </c>
      <c r="S88" s="656">
        <f t="shared" ref="S88:S94" si="12">SUM(G88:R88)</f>
        <v>0</v>
      </c>
      <c r="T88" s="617">
        <f t="shared" ref="T88:T94" ca="1" si="13">U88-$AE$3</f>
        <v>-188</v>
      </c>
      <c r="U88" s="611">
        <v>44194</v>
      </c>
      <c r="V88" s="345" t="s">
        <v>1795</v>
      </c>
      <c r="W88" s="612"/>
      <c r="X88" s="613"/>
      <c r="Y88" s="613"/>
      <c r="Z88" s="613"/>
      <c r="AA88" s="613"/>
      <c r="AB88" s="613"/>
      <c r="AC88" s="616"/>
      <c r="AD88" s="346">
        <v>42358</v>
      </c>
      <c r="AE88" s="618">
        <f t="shared" ref="AE88:AE94" ca="1" si="14">TODAY()-DATE(YEAR(AD88)+6,MONTH(AD88),DAY(AD88))</f>
        <v>-168</v>
      </c>
      <c r="AF88" s="339" t="s">
        <v>1796</v>
      </c>
    </row>
    <row r="89" spans="1:32" s="541" customFormat="1" ht="38.25" x14ac:dyDescent="0.2">
      <c r="A89" s="646" t="s">
        <v>1756</v>
      </c>
      <c r="B89" s="339"/>
      <c r="C89" s="339" t="s">
        <v>1757</v>
      </c>
      <c r="D89" s="340" t="s">
        <v>1797</v>
      </c>
      <c r="E89" s="340" t="s">
        <v>1798</v>
      </c>
      <c r="F89" s="365" t="s">
        <v>314</v>
      </c>
      <c r="G89" s="609">
        <v>0</v>
      </c>
      <c r="H89" s="609">
        <v>0</v>
      </c>
      <c r="I89" s="609">
        <v>0</v>
      </c>
      <c r="J89" s="609">
        <v>0</v>
      </c>
      <c r="K89" s="609">
        <v>0</v>
      </c>
      <c r="L89" s="609">
        <v>0</v>
      </c>
      <c r="M89" s="609">
        <v>0</v>
      </c>
      <c r="N89" s="609">
        <v>0</v>
      </c>
      <c r="O89" s="609">
        <v>0</v>
      </c>
      <c r="P89" s="609">
        <v>0</v>
      </c>
      <c r="Q89" s="609">
        <v>0</v>
      </c>
      <c r="R89" s="609">
        <v>0</v>
      </c>
      <c r="S89" s="656">
        <f t="shared" si="12"/>
        <v>0</v>
      </c>
      <c r="T89" s="617">
        <f t="shared" ca="1" si="13"/>
        <v>-1661</v>
      </c>
      <c r="U89" s="611">
        <v>42721</v>
      </c>
      <c r="V89" s="345" t="s">
        <v>1822</v>
      </c>
      <c r="W89" s="612"/>
      <c r="X89" s="613"/>
      <c r="Y89" s="613"/>
      <c r="Z89" s="613"/>
      <c r="AA89" s="613"/>
      <c r="AB89" s="613"/>
      <c r="AC89" s="616"/>
      <c r="AD89" s="346">
        <v>42722</v>
      </c>
      <c r="AE89" s="618">
        <f t="shared" ca="1" si="14"/>
        <v>-531</v>
      </c>
      <c r="AF89" s="339" t="s">
        <v>1763</v>
      </c>
    </row>
    <row r="90" spans="1:32" s="541" customFormat="1" ht="38.25" x14ac:dyDescent="0.2">
      <c r="A90" s="646" t="s">
        <v>1756</v>
      </c>
      <c r="B90" s="339"/>
      <c r="C90" s="339" t="s">
        <v>1757</v>
      </c>
      <c r="D90" s="340" t="s">
        <v>1799</v>
      </c>
      <c r="E90" s="340" t="s">
        <v>1798</v>
      </c>
      <c r="F90" s="365" t="s">
        <v>314</v>
      </c>
      <c r="G90" s="609">
        <v>0</v>
      </c>
      <c r="H90" s="609">
        <v>0</v>
      </c>
      <c r="I90" s="609">
        <v>0</v>
      </c>
      <c r="J90" s="609">
        <v>0</v>
      </c>
      <c r="K90" s="609">
        <v>0</v>
      </c>
      <c r="L90" s="609">
        <v>0</v>
      </c>
      <c r="M90" s="609">
        <v>0</v>
      </c>
      <c r="N90" s="609">
        <v>0</v>
      </c>
      <c r="O90" s="609">
        <v>0</v>
      </c>
      <c r="P90" s="609">
        <v>0</v>
      </c>
      <c r="Q90" s="609">
        <v>0</v>
      </c>
      <c r="R90" s="609">
        <v>0</v>
      </c>
      <c r="S90" s="656">
        <f t="shared" si="12"/>
        <v>0</v>
      </c>
      <c r="T90" s="617">
        <f t="shared" ca="1" si="13"/>
        <v>-1661</v>
      </c>
      <c r="U90" s="611">
        <v>42721</v>
      </c>
      <c r="V90" s="345" t="s">
        <v>1822</v>
      </c>
      <c r="W90" s="612"/>
      <c r="X90" s="613"/>
      <c r="Y90" s="613"/>
      <c r="Z90" s="613"/>
      <c r="AA90" s="613"/>
      <c r="AB90" s="613"/>
      <c r="AC90" s="616"/>
      <c r="AD90" s="346">
        <v>42722</v>
      </c>
      <c r="AE90" s="618">
        <f t="shared" ca="1" si="14"/>
        <v>-531</v>
      </c>
      <c r="AF90" s="339" t="s">
        <v>1763</v>
      </c>
    </row>
    <row r="91" spans="1:32" s="541" customFormat="1" ht="38.25" x14ac:dyDescent="0.2">
      <c r="A91" s="646" t="s">
        <v>1756</v>
      </c>
      <c r="B91" s="339"/>
      <c r="C91" s="339" t="s">
        <v>1757</v>
      </c>
      <c r="D91" s="340" t="s">
        <v>1807</v>
      </c>
      <c r="E91" s="340" t="s">
        <v>1798</v>
      </c>
      <c r="F91" s="365" t="s">
        <v>314</v>
      </c>
      <c r="G91" s="609">
        <v>0</v>
      </c>
      <c r="H91" s="609">
        <v>0</v>
      </c>
      <c r="I91" s="609">
        <v>0</v>
      </c>
      <c r="J91" s="609">
        <v>0</v>
      </c>
      <c r="K91" s="609">
        <v>0</v>
      </c>
      <c r="L91" s="609">
        <v>0</v>
      </c>
      <c r="M91" s="609">
        <v>0</v>
      </c>
      <c r="N91" s="609">
        <v>0</v>
      </c>
      <c r="O91" s="609">
        <v>0</v>
      </c>
      <c r="P91" s="609">
        <v>0</v>
      </c>
      <c r="Q91" s="609">
        <v>0</v>
      </c>
      <c r="R91" s="609">
        <v>0</v>
      </c>
      <c r="S91" s="656">
        <f t="shared" si="12"/>
        <v>0</v>
      </c>
      <c r="T91" s="617">
        <f t="shared" ca="1" si="13"/>
        <v>-1661</v>
      </c>
      <c r="U91" s="611">
        <v>42721</v>
      </c>
      <c r="V91" s="345" t="s">
        <v>1822</v>
      </c>
      <c r="W91" s="612"/>
      <c r="X91" s="613"/>
      <c r="Y91" s="613"/>
      <c r="Z91" s="613"/>
      <c r="AA91" s="613"/>
      <c r="AB91" s="613"/>
      <c r="AC91" s="616"/>
      <c r="AD91" s="346">
        <v>42722</v>
      </c>
      <c r="AE91" s="618">
        <f t="shared" ca="1" si="14"/>
        <v>-531</v>
      </c>
      <c r="AF91" s="339" t="s">
        <v>1763</v>
      </c>
    </row>
    <row r="92" spans="1:32" s="541" customFormat="1" ht="38.25" x14ac:dyDescent="0.2">
      <c r="A92" s="646" t="s">
        <v>1756</v>
      </c>
      <c r="B92" s="339"/>
      <c r="C92" s="339" t="s">
        <v>1757</v>
      </c>
      <c r="D92" s="340" t="s">
        <v>1800</v>
      </c>
      <c r="E92" s="340" t="s">
        <v>1798</v>
      </c>
      <c r="F92" s="365" t="s">
        <v>314</v>
      </c>
      <c r="G92" s="609">
        <v>0</v>
      </c>
      <c r="H92" s="609">
        <v>0</v>
      </c>
      <c r="I92" s="609">
        <v>0</v>
      </c>
      <c r="J92" s="609">
        <v>0</v>
      </c>
      <c r="K92" s="609">
        <v>0</v>
      </c>
      <c r="L92" s="609">
        <v>0</v>
      </c>
      <c r="M92" s="609">
        <v>0</v>
      </c>
      <c r="N92" s="609">
        <v>0</v>
      </c>
      <c r="O92" s="609">
        <v>0</v>
      </c>
      <c r="P92" s="609">
        <v>0</v>
      </c>
      <c r="Q92" s="609">
        <v>0</v>
      </c>
      <c r="R92" s="609">
        <v>0</v>
      </c>
      <c r="S92" s="656">
        <f t="shared" si="12"/>
        <v>0</v>
      </c>
      <c r="T92" s="617">
        <f t="shared" ca="1" si="13"/>
        <v>-1661</v>
      </c>
      <c r="U92" s="611">
        <v>42721</v>
      </c>
      <c r="V92" s="345" t="s">
        <v>1822</v>
      </c>
      <c r="W92" s="612"/>
      <c r="X92" s="613"/>
      <c r="Y92" s="613"/>
      <c r="Z92" s="613"/>
      <c r="AA92" s="613"/>
      <c r="AB92" s="613"/>
      <c r="AC92" s="616"/>
      <c r="AD92" s="346">
        <v>42722</v>
      </c>
      <c r="AE92" s="618">
        <f t="shared" ca="1" si="14"/>
        <v>-531</v>
      </c>
      <c r="AF92" s="339" t="s">
        <v>1763</v>
      </c>
    </row>
    <row r="93" spans="1:32" s="541" customFormat="1" ht="38.25" x14ac:dyDescent="0.2">
      <c r="A93" s="646" t="s">
        <v>1756</v>
      </c>
      <c r="B93" s="339"/>
      <c r="C93" s="339" t="s">
        <v>1757</v>
      </c>
      <c r="D93" s="340" t="s">
        <v>1801</v>
      </c>
      <c r="E93" s="340" t="s">
        <v>1798</v>
      </c>
      <c r="F93" s="365" t="s">
        <v>314</v>
      </c>
      <c r="G93" s="609">
        <v>0</v>
      </c>
      <c r="H93" s="609">
        <v>0</v>
      </c>
      <c r="I93" s="609">
        <v>0</v>
      </c>
      <c r="J93" s="609">
        <v>0</v>
      </c>
      <c r="K93" s="609">
        <v>0</v>
      </c>
      <c r="L93" s="609">
        <v>0</v>
      </c>
      <c r="M93" s="609">
        <v>0</v>
      </c>
      <c r="N93" s="609">
        <v>0</v>
      </c>
      <c r="O93" s="609">
        <v>0</v>
      </c>
      <c r="P93" s="609">
        <v>0</v>
      </c>
      <c r="Q93" s="609">
        <v>0</v>
      </c>
      <c r="R93" s="609">
        <v>0</v>
      </c>
      <c r="S93" s="656">
        <f t="shared" si="12"/>
        <v>0</v>
      </c>
      <c r="T93" s="617">
        <f t="shared" ca="1" si="13"/>
        <v>-1661</v>
      </c>
      <c r="U93" s="611">
        <v>42721</v>
      </c>
      <c r="V93" s="345" t="s">
        <v>1822</v>
      </c>
      <c r="W93" s="612"/>
      <c r="X93" s="613"/>
      <c r="Y93" s="613"/>
      <c r="Z93" s="613"/>
      <c r="AA93" s="613"/>
      <c r="AB93" s="613"/>
      <c r="AC93" s="616"/>
      <c r="AD93" s="346">
        <v>42722</v>
      </c>
      <c r="AE93" s="618">
        <f t="shared" ca="1" si="14"/>
        <v>-531</v>
      </c>
      <c r="AF93" s="339" t="s">
        <v>1763</v>
      </c>
    </row>
    <row r="94" spans="1:32" s="541" customFormat="1" ht="38.25" x14ac:dyDescent="0.2">
      <c r="A94" s="646" t="s">
        <v>1756</v>
      </c>
      <c r="B94" s="339"/>
      <c r="C94" s="339" t="s">
        <v>1757</v>
      </c>
      <c r="D94" s="340" t="s">
        <v>1802</v>
      </c>
      <c r="E94" s="340" t="s">
        <v>1798</v>
      </c>
      <c r="F94" s="365" t="s">
        <v>314</v>
      </c>
      <c r="G94" s="609">
        <v>0</v>
      </c>
      <c r="H94" s="609">
        <v>0</v>
      </c>
      <c r="I94" s="609">
        <v>0</v>
      </c>
      <c r="J94" s="609">
        <v>0</v>
      </c>
      <c r="K94" s="609">
        <v>0</v>
      </c>
      <c r="L94" s="609">
        <v>0</v>
      </c>
      <c r="M94" s="609">
        <v>0</v>
      </c>
      <c r="N94" s="609">
        <v>0</v>
      </c>
      <c r="O94" s="609">
        <v>0</v>
      </c>
      <c r="P94" s="609">
        <v>0</v>
      </c>
      <c r="Q94" s="609">
        <v>0</v>
      </c>
      <c r="R94" s="609">
        <v>0</v>
      </c>
      <c r="S94" s="656">
        <f t="shared" si="12"/>
        <v>0</v>
      </c>
      <c r="T94" s="617">
        <f t="shared" ca="1" si="13"/>
        <v>-1661</v>
      </c>
      <c r="U94" s="611">
        <v>42721</v>
      </c>
      <c r="V94" s="345" t="s">
        <v>1822</v>
      </c>
      <c r="W94" s="612"/>
      <c r="X94" s="613"/>
      <c r="Y94" s="613"/>
      <c r="Z94" s="613"/>
      <c r="AA94" s="613"/>
      <c r="AB94" s="613"/>
      <c r="AC94" s="616"/>
      <c r="AD94" s="346">
        <v>42722</v>
      </c>
      <c r="AE94" s="618">
        <f t="shared" ca="1" si="14"/>
        <v>-531</v>
      </c>
      <c r="AF94" s="339" t="s">
        <v>1763</v>
      </c>
    </row>
    <row r="95" spans="1:32" s="541" customFormat="1" ht="38.25" x14ac:dyDescent="0.2">
      <c r="A95" s="646" t="s">
        <v>1756</v>
      </c>
      <c r="B95" s="339"/>
      <c r="C95" s="339" t="s">
        <v>1757</v>
      </c>
      <c r="D95" s="340" t="s">
        <v>1803</v>
      </c>
      <c r="E95" s="340" t="s">
        <v>1798</v>
      </c>
      <c r="F95" s="365" t="s">
        <v>314</v>
      </c>
      <c r="G95" s="609">
        <v>0</v>
      </c>
      <c r="H95" s="609">
        <v>0</v>
      </c>
      <c r="I95" s="609">
        <v>0</v>
      </c>
      <c r="J95" s="609">
        <v>0</v>
      </c>
      <c r="K95" s="609">
        <v>0</v>
      </c>
      <c r="L95" s="609">
        <v>0</v>
      </c>
      <c r="M95" s="609">
        <v>0</v>
      </c>
      <c r="N95" s="609">
        <v>0</v>
      </c>
      <c r="O95" s="609">
        <v>0</v>
      </c>
      <c r="P95" s="609">
        <v>0</v>
      </c>
      <c r="Q95" s="609">
        <v>0</v>
      </c>
      <c r="R95" s="609">
        <v>0</v>
      </c>
      <c r="S95" s="656">
        <f t="shared" ref="S95:S109" si="15">SUM(G95:R95)</f>
        <v>0</v>
      </c>
      <c r="T95" s="617">
        <f t="shared" ref="T95:T109" ca="1" si="16">U95-$AE$3</f>
        <v>-1661</v>
      </c>
      <c r="U95" s="611">
        <v>42721</v>
      </c>
      <c r="V95" s="345" t="s">
        <v>1822</v>
      </c>
      <c r="W95" s="612"/>
      <c r="X95" s="613"/>
      <c r="Y95" s="613"/>
      <c r="Z95" s="613"/>
      <c r="AA95" s="613"/>
      <c r="AB95" s="613"/>
      <c r="AC95" s="616"/>
      <c r="AD95" s="346">
        <v>42722</v>
      </c>
      <c r="AE95" s="618">
        <f t="shared" ca="1" si="9"/>
        <v>-531</v>
      </c>
      <c r="AF95" s="339" t="s">
        <v>1763</v>
      </c>
    </row>
    <row r="96" spans="1:32" s="541" customFormat="1" ht="38.25" x14ac:dyDescent="0.2">
      <c r="A96" s="646" t="s">
        <v>1756</v>
      </c>
      <c r="B96" s="339"/>
      <c r="C96" s="339" t="s">
        <v>1757</v>
      </c>
      <c r="D96" s="340" t="s">
        <v>1804</v>
      </c>
      <c r="E96" s="340" t="s">
        <v>1798</v>
      </c>
      <c r="F96" s="365" t="s">
        <v>314</v>
      </c>
      <c r="G96" s="609">
        <v>0</v>
      </c>
      <c r="H96" s="609">
        <v>0</v>
      </c>
      <c r="I96" s="609">
        <v>0</v>
      </c>
      <c r="J96" s="609">
        <v>0</v>
      </c>
      <c r="K96" s="609">
        <v>0</v>
      </c>
      <c r="L96" s="609">
        <v>0</v>
      </c>
      <c r="M96" s="609">
        <v>0</v>
      </c>
      <c r="N96" s="609">
        <v>0</v>
      </c>
      <c r="O96" s="609">
        <v>0</v>
      </c>
      <c r="P96" s="609">
        <v>0</v>
      </c>
      <c r="Q96" s="609">
        <v>0</v>
      </c>
      <c r="R96" s="609">
        <v>0</v>
      </c>
      <c r="S96" s="656">
        <f t="shared" si="15"/>
        <v>0</v>
      </c>
      <c r="T96" s="617">
        <f t="shared" ca="1" si="16"/>
        <v>-1661</v>
      </c>
      <c r="U96" s="611">
        <v>42721</v>
      </c>
      <c r="V96" s="345" t="s">
        <v>1822</v>
      </c>
      <c r="W96" s="612"/>
      <c r="X96" s="613"/>
      <c r="Y96" s="613"/>
      <c r="Z96" s="613"/>
      <c r="AA96" s="613"/>
      <c r="AB96" s="613"/>
      <c r="AC96" s="616"/>
      <c r="AD96" s="346">
        <v>42722</v>
      </c>
      <c r="AE96" s="618">
        <f t="shared" ca="1" si="9"/>
        <v>-531</v>
      </c>
      <c r="AF96" s="339" t="s">
        <v>1763</v>
      </c>
    </row>
    <row r="97" spans="1:32" s="541" customFormat="1" ht="38.25" x14ac:dyDescent="0.2">
      <c r="A97" s="646" t="s">
        <v>1756</v>
      </c>
      <c r="B97" s="339"/>
      <c r="C97" s="339" t="s">
        <v>1757</v>
      </c>
      <c r="D97" s="340" t="s">
        <v>1805</v>
      </c>
      <c r="E97" s="340" t="s">
        <v>1798</v>
      </c>
      <c r="F97" s="365" t="s">
        <v>314</v>
      </c>
      <c r="G97" s="609">
        <v>0</v>
      </c>
      <c r="H97" s="609">
        <v>0</v>
      </c>
      <c r="I97" s="609">
        <v>0</v>
      </c>
      <c r="J97" s="609">
        <v>0</v>
      </c>
      <c r="K97" s="609">
        <v>0</v>
      </c>
      <c r="L97" s="609">
        <v>0</v>
      </c>
      <c r="M97" s="609">
        <v>0</v>
      </c>
      <c r="N97" s="609">
        <v>0</v>
      </c>
      <c r="O97" s="609">
        <v>0</v>
      </c>
      <c r="P97" s="609">
        <v>0</v>
      </c>
      <c r="Q97" s="609">
        <v>0</v>
      </c>
      <c r="R97" s="609">
        <v>0</v>
      </c>
      <c r="S97" s="656">
        <f t="shared" si="15"/>
        <v>0</v>
      </c>
      <c r="T97" s="617">
        <f t="shared" ca="1" si="16"/>
        <v>-1661</v>
      </c>
      <c r="U97" s="611">
        <v>42721</v>
      </c>
      <c r="V97" s="345" t="s">
        <v>1822</v>
      </c>
      <c r="W97" s="612"/>
      <c r="X97" s="613"/>
      <c r="Y97" s="613"/>
      <c r="Z97" s="613"/>
      <c r="AA97" s="613"/>
      <c r="AB97" s="613"/>
      <c r="AC97" s="616"/>
      <c r="AD97" s="346">
        <v>42722</v>
      </c>
      <c r="AE97" s="618">
        <f t="shared" ca="1" si="9"/>
        <v>-531</v>
      </c>
      <c r="AF97" s="339" t="s">
        <v>1763</v>
      </c>
    </row>
    <row r="98" spans="1:32" s="541" customFormat="1" ht="38.25" x14ac:dyDescent="0.2">
      <c r="A98" s="646" t="s">
        <v>1756</v>
      </c>
      <c r="B98" s="339"/>
      <c r="C98" s="339" t="s">
        <v>1757</v>
      </c>
      <c r="D98" s="340" t="s">
        <v>1806</v>
      </c>
      <c r="E98" s="340" t="s">
        <v>1798</v>
      </c>
      <c r="F98" s="365" t="s">
        <v>314</v>
      </c>
      <c r="G98" s="609">
        <v>0</v>
      </c>
      <c r="H98" s="609">
        <v>0</v>
      </c>
      <c r="I98" s="609">
        <v>0</v>
      </c>
      <c r="J98" s="609">
        <v>0</v>
      </c>
      <c r="K98" s="609">
        <v>0</v>
      </c>
      <c r="L98" s="609">
        <v>0</v>
      </c>
      <c r="M98" s="609">
        <v>0</v>
      </c>
      <c r="N98" s="609">
        <v>0</v>
      </c>
      <c r="O98" s="609">
        <v>0</v>
      </c>
      <c r="P98" s="609">
        <v>0</v>
      </c>
      <c r="Q98" s="609">
        <v>0</v>
      </c>
      <c r="R98" s="609">
        <v>0</v>
      </c>
      <c r="S98" s="656">
        <f t="shared" si="15"/>
        <v>0</v>
      </c>
      <c r="T98" s="617">
        <f t="shared" ca="1" si="16"/>
        <v>-1661</v>
      </c>
      <c r="U98" s="611">
        <v>42721</v>
      </c>
      <c r="V98" s="345" t="s">
        <v>1822</v>
      </c>
      <c r="W98" s="612"/>
      <c r="X98" s="613"/>
      <c r="Y98" s="613"/>
      <c r="Z98" s="613"/>
      <c r="AA98" s="613"/>
      <c r="AB98" s="613"/>
      <c r="AC98" s="616"/>
      <c r="AD98" s="346">
        <v>42722</v>
      </c>
      <c r="AE98" s="618">
        <f t="shared" ca="1" si="9"/>
        <v>-531</v>
      </c>
      <c r="AF98" s="339" t="s">
        <v>1763</v>
      </c>
    </row>
    <row r="99" spans="1:32" s="541" customFormat="1" ht="38.25" x14ac:dyDescent="0.2">
      <c r="A99" s="646" t="s">
        <v>1756</v>
      </c>
      <c r="B99" s="339"/>
      <c r="C99" s="339" t="s">
        <v>1757</v>
      </c>
      <c r="D99" s="340" t="s">
        <v>1808</v>
      </c>
      <c r="E99" s="340" t="s">
        <v>1798</v>
      </c>
      <c r="F99" s="365" t="s">
        <v>314</v>
      </c>
      <c r="G99" s="609">
        <v>0</v>
      </c>
      <c r="H99" s="609">
        <v>0</v>
      </c>
      <c r="I99" s="609">
        <v>0</v>
      </c>
      <c r="J99" s="609">
        <v>0</v>
      </c>
      <c r="K99" s="609">
        <v>0</v>
      </c>
      <c r="L99" s="609">
        <v>0</v>
      </c>
      <c r="M99" s="609">
        <v>0</v>
      </c>
      <c r="N99" s="609">
        <v>0</v>
      </c>
      <c r="O99" s="609">
        <v>0</v>
      </c>
      <c r="P99" s="609">
        <v>0</v>
      </c>
      <c r="Q99" s="609">
        <v>0</v>
      </c>
      <c r="R99" s="609">
        <v>0</v>
      </c>
      <c r="S99" s="656">
        <f t="shared" si="15"/>
        <v>0</v>
      </c>
      <c r="T99" s="617">
        <f t="shared" ca="1" si="16"/>
        <v>-1661</v>
      </c>
      <c r="U99" s="611">
        <v>42721</v>
      </c>
      <c r="V99" s="345" t="s">
        <v>1822</v>
      </c>
      <c r="W99" s="612"/>
      <c r="X99" s="613"/>
      <c r="Y99" s="613"/>
      <c r="Z99" s="613"/>
      <c r="AA99" s="613"/>
      <c r="AB99" s="613"/>
      <c r="AC99" s="616"/>
      <c r="AD99" s="346">
        <v>42722</v>
      </c>
      <c r="AE99" s="618">
        <f t="shared" ca="1" si="9"/>
        <v>-531</v>
      </c>
      <c r="AF99" s="339" t="s">
        <v>1763</v>
      </c>
    </row>
    <row r="100" spans="1:32" s="541" customFormat="1" ht="38.25" x14ac:dyDescent="0.2">
      <c r="A100" s="646" t="s">
        <v>1756</v>
      </c>
      <c r="B100" s="339"/>
      <c r="C100" s="339" t="s">
        <v>1757</v>
      </c>
      <c r="D100" s="340" t="s">
        <v>1809</v>
      </c>
      <c r="E100" s="340" t="s">
        <v>1798</v>
      </c>
      <c r="F100" s="365" t="s">
        <v>314</v>
      </c>
      <c r="G100" s="609">
        <v>0</v>
      </c>
      <c r="H100" s="609">
        <v>0</v>
      </c>
      <c r="I100" s="609">
        <v>0</v>
      </c>
      <c r="J100" s="609">
        <v>0</v>
      </c>
      <c r="K100" s="609">
        <v>0</v>
      </c>
      <c r="L100" s="609">
        <v>0</v>
      </c>
      <c r="M100" s="609">
        <v>0</v>
      </c>
      <c r="N100" s="609">
        <v>0</v>
      </c>
      <c r="O100" s="609">
        <v>0</v>
      </c>
      <c r="P100" s="609">
        <v>0</v>
      </c>
      <c r="Q100" s="609">
        <v>0</v>
      </c>
      <c r="R100" s="609">
        <v>0</v>
      </c>
      <c r="S100" s="656">
        <f t="shared" si="15"/>
        <v>0</v>
      </c>
      <c r="T100" s="617">
        <f t="shared" ca="1" si="16"/>
        <v>-1661</v>
      </c>
      <c r="U100" s="611">
        <v>42721</v>
      </c>
      <c r="V100" s="345" t="s">
        <v>1822</v>
      </c>
      <c r="W100" s="612"/>
      <c r="X100" s="613"/>
      <c r="Y100" s="613"/>
      <c r="Z100" s="613"/>
      <c r="AA100" s="613"/>
      <c r="AB100" s="613"/>
      <c r="AC100" s="616"/>
      <c r="AD100" s="346">
        <v>42722</v>
      </c>
      <c r="AE100" s="618">
        <f t="shared" ca="1" si="9"/>
        <v>-531</v>
      </c>
      <c r="AF100" s="339" t="s">
        <v>1763</v>
      </c>
    </row>
    <row r="101" spans="1:32" s="541" customFormat="1" ht="38.25" x14ac:dyDescent="0.2">
      <c r="A101" s="646" t="s">
        <v>1756</v>
      </c>
      <c r="B101" s="339"/>
      <c r="C101" s="339" t="s">
        <v>1757</v>
      </c>
      <c r="D101" s="340" t="s">
        <v>1810</v>
      </c>
      <c r="E101" s="340" t="s">
        <v>1798</v>
      </c>
      <c r="F101" s="365" t="s">
        <v>314</v>
      </c>
      <c r="G101" s="609">
        <v>0</v>
      </c>
      <c r="H101" s="609">
        <v>0</v>
      </c>
      <c r="I101" s="609">
        <v>0</v>
      </c>
      <c r="J101" s="609">
        <v>0</v>
      </c>
      <c r="K101" s="609">
        <v>0</v>
      </c>
      <c r="L101" s="609">
        <v>0</v>
      </c>
      <c r="M101" s="609">
        <v>0</v>
      </c>
      <c r="N101" s="609">
        <v>0</v>
      </c>
      <c r="O101" s="609">
        <v>0</v>
      </c>
      <c r="P101" s="609">
        <v>0</v>
      </c>
      <c r="Q101" s="609">
        <v>0</v>
      </c>
      <c r="R101" s="609">
        <v>0</v>
      </c>
      <c r="S101" s="656">
        <f t="shared" si="15"/>
        <v>0</v>
      </c>
      <c r="T101" s="617">
        <f t="shared" ca="1" si="16"/>
        <v>-1661</v>
      </c>
      <c r="U101" s="611">
        <v>42721</v>
      </c>
      <c r="V101" s="345" t="s">
        <v>1822</v>
      </c>
      <c r="W101" s="612"/>
      <c r="X101" s="613"/>
      <c r="Y101" s="613"/>
      <c r="Z101" s="613"/>
      <c r="AA101" s="613"/>
      <c r="AB101" s="613"/>
      <c r="AC101" s="616"/>
      <c r="AD101" s="346">
        <v>42722</v>
      </c>
      <c r="AE101" s="618">
        <f t="shared" ca="1" si="9"/>
        <v>-531</v>
      </c>
      <c r="AF101" s="339" t="s">
        <v>1763</v>
      </c>
    </row>
    <row r="102" spans="1:32" s="541" customFormat="1" ht="38.25" x14ac:dyDescent="0.2">
      <c r="A102" s="646" t="s">
        <v>1756</v>
      </c>
      <c r="B102" s="339"/>
      <c r="C102" s="339" t="s">
        <v>1757</v>
      </c>
      <c r="D102" s="340" t="s">
        <v>1811</v>
      </c>
      <c r="E102" s="340" t="s">
        <v>1798</v>
      </c>
      <c r="F102" s="365" t="s">
        <v>314</v>
      </c>
      <c r="G102" s="609">
        <v>0</v>
      </c>
      <c r="H102" s="609">
        <v>0</v>
      </c>
      <c r="I102" s="609">
        <v>0</v>
      </c>
      <c r="J102" s="609">
        <v>0</v>
      </c>
      <c r="K102" s="609">
        <v>0</v>
      </c>
      <c r="L102" s="609">
        <v>0</v>
      </c>
      <c r="M102" s="609">
        <v>0</v>
      </c>
      <c r="N102" s="609">
        <v>0</v>
      </c>
      <c r="O102" s="609">
        <v>0</v>
      </c>
      <c r="P102" s="609">
        <v>0</v>
      </c>
      <c r="Q102" s="609">
        <v>0</v>
      </c>
      <c r="R102" s="609">
        <v>0</v>
      </c>
      <c r="S102" s="656">
        <f t="shared" si="15"/>
        <v>0</v>
      </c>
      <c r="T102" s="617">
        <f t="shared" ca="1" si="16"/>
        <v>-1661</v>
      </c>
      <c r="U102" s="611">
        <v>42721</v>
      </c>
      <c r="V102" s="345" t="s">
        <v>1822</v>
      </c>
      <c r="W102" s="612"/>
      <c r="X102" s="613"/>
      <c r="Y102" s="613"/>
      <c r="Z102" s="613"/>
      <c r="AA102" s="613"/>
      <c r="AB102" s="613"/>
      <c r="AC102" s="616"/>
      <c r="AD102" s="346">
        <v>42722</v>
      </c>
      <c r="AE102" s="618">
        <f ca="1">TODAY()-DATE(YEAR(AD102)+6,MONTH(AD102),DAY(AD102))</f>
        <v>-531</v>
      </c>
      <c r="AF102" s="339" t="s">
        <v>1763</v>
      </c>
    </row>
    <row r="103" spans="1:32" s="541" customFormat="1" ht="38.25" x14ac:dyDescent="0.2">
      <c r="A103" s="646" t="s">
        <v>1756</v>
      </c>
      <c r="B103" s="339"/>
      <c r="C103" s="339" t="s">
        <v>1757</v>
      </c>
      <c r="D103" s="340" t="s">
        <v>1812</v>
      </c>
      <c r="E103" s="340" t="s">
        <v>1798</v>
      </c>
      <c r="F103" s="365" t="s">
        <v>314</v>
      </c>
      <c r="G103" s="609">
        <v>0</v>
      </c>
      <c r="H103" s="609">
        <v>0</v>
      </c>
      <c r="I103" s="609">
        <v>0</v>
      </c>
      <c r="J103" s="609">
        <v>0</v>
      </c>
      <c r="K103" s="609">
        <v>0</v>
      </c>
      <c r="L103" s="609">
        <v>0</v>
      </c>
      <c r="M103" s="609">
        <v>0</v>
      </c>
      <c r="N103" s="609">
        <v>0</v>
      </c>
      <c r="O103" s="609">
        <v>0</v>
      </c>
      <c r="P103" s="609">
        <v>0</v>
      </c>
      <c r="Q103" s="609">
        <v>0</v>
      </c>
      <c r="R103" s="609">
        <v>0</v>
      </c>
      <c r="S103" s="656">
        <f t="shared" si="15"/>
        <v>0</v>
      </c>
      <c r="T103" s="617">
        <f t="shared" ca="1" si="16"/>
        <v>-1661</v>
      </c>
      <c r="U103" s="611">
        <v>42721</v>
      </c>
      <c r="V103" s="345" t="s">
        <v>1822</v>
      </c>
      <c r="W103" s="612"/>
      <c r="X103" s="613"/>
      <c r="Y103" s="613"/>
      <c r="Z103" s="613"/>
      <c r="AA103" s="613"/>
      <c r="AB103" s="613"/>
      <c r="AC103" s="616"/>
      <c r="AD103" s="346">
        <v>42722</v>
      </c>
      <c r="AE103" s="618">
        <f ca="1">TODAY()-DATE(YEAR(AD103)+6,MONTH(AD103),DAY(AD103))</f>
        <v>-531</v>
      </c>
      <c r="AF103" s="339" t="s">
        <v>1763</v>
      </c>
    </row>
    <row r="104" spans="1:32" s="541" customFormat="1" ht="38.25" x14ac:dyDescent="0.2">
      <c r="A104" s="646" t="s">
        <v>1756</v>
      </c>
      <c r="B104" s="339"/>
      <c r="C104" s="339" t="s">
        <v>1757</v>
      </c>
      <c r="D104" s="340" t="s">
        <v>1813</v>
      </c>
      <c r="E104" s="340" t="s">
        <v>1798</v>
      </c>
      <c r="F104" s="365" t="s">
        <v>314</v>
      </c>
      <c r="G104" s="609">
        <v>0</v>
      </c>
      <c r="H104" s="609">
        <v>0</v>
      </c>
      <c r="I104" s="609">
        <v>0</v>
      </c>
      <c r="J104" s="609">
        <v>0</v>
      </c>
      <c r="K104" s="609">
        <v>0</v>
      </c>
      <c r="L104" s="609">
        <v>0</v>
      </c>
      <c r="M104" s="609">
        <v>0</v>
      </c>
      <c r="N104" s="609">
        <v>0</v>
      </c>
      <c r="O104" s="609">
        <v>0</v>
      </c>
      <c r="P104" s="609">
        <v>0</v>
      </c>
      <c r="Q104" s="609">
        <v>0</v>
      </c>
      <c r="R104" s="609">
        <v>0</v>
      </c>
      <c r="S104" s="656">
        <f t="shared" si="15"/>
        <v>0</v>
      </c>
      <c r="T104" s="617">
        <f t="shared" ca="1" si="16"/>
        <v>-1661</v>
      </c>
      <c r="U104" s="611">
        <v>42721</v>
      </c>
      <c r="V104" s="345" t="s">
        <v>1822</v>
      </c>
      <c r="W104" s="612"/>
      <c r="X104" s="613"/>
      <c r="Y104" s="613"/>
      <c r="Z104" s="613"/>
      <c r="AA104" s="613"/>
      <c r="AB104" s="613"/>
      <c r="AC104" s="616"/>
      <c r="AD104" s="346">
        <v>42722</v>
      </c>
      <c r="AE104" s="618">
        <f t="shared" ca="1" si="9"/>
        <v>-531</v>
      </c>
      <c r="AF104" s="339" t="s">
        <v>1763</v>
      </c>
    </row>
    <row r="105" spans="1:32" s="541" customFormat="1" ht="38.25" x14ac:dyDescent="0.2">
      <c r="A105" s="646" t="s">
        <v>1756</v>
      </c>
      <c r="B105" s="339"/>
      <c r="C105" s="339" t="s">
        <v>1757</v>
      </c>
      <c r="D105" s="340" t="s">
        <v>125</v>
      </c>
      <c r="E105" s="340" t="s">
        <v>1798</v>
      </c>
      <c r="F105" s="365" t="s">
        <v>314</v>
      </c>
      <c r="G105" s="609">
        <v>0</v>
      </c>
      <c r="H105" s="609">
        <v>0</v>
      </c>
      <c r="I105" s="609">
        <v>0</v>
      </c>
      <c r="J105" s="609">
        <v>0</v>
      </c>
      <c r="K105" s="609">
        <v>0</v>
      </c>
      <c r="L105" s="609">
        <v>0</v>
      </c>
      <c r="M105" s="609">
        <v>0</v>
      </c>
      <c r="N105" s="609">
        <v>0</v>
      </c>
      <c r="O105" s="609">
        <v>0</v>
      </c>
      <c r="P105" s="609">
        <v>0</v>
      </c>
      <c r="Q105" s="609">
        <v>0</v>
      </c>
      <c r="R105" s="609">
        <v>0</v>
      </c>
      <c r="S105" s="656">
        <f t="shared" si="15"/>
        <v>0</v>
      </c>
      <c r="T105" s="617">
        <f t="shared" ca="1" si="16"/>
        <v>-1661</v>
      </c>
      <c r="U105" s="611">
        <v>42721</v>
      </c>
      <c r="V105" s="345" t="s">
        <v>1822</v>
      </c>
      <c r="W105" s="612"/>
      <c r="X105" s="613"/>
      <c r="Y105" s="613"/>
      <c r="Z105" s="613"/>
      <c r="AA105" s="613"/>
      <c r="AB105" s="613"/>
      <c r="AC105" s="616"/>
      <c r="AD105" s="346">
        <v>42722</v>
      </c>
      <c r="AE105" s="618">
        <f t="shared" ca="1" si="9"/>
        <v>-531</v>
      </c>
      <c r="AF105" s="339" t="s">
        <v>1763</v>
      </c>
    </row>
    <row r="106" spans="1:32" s="541" customFormat="1" ht="38.25" x14ac:dyDescent="0.2">
      <c r="A106" s="646" t="s">
        <v>1756</v>
      </c>
      <c r="B106" s="339"/>
      <c r="C106" s="339" t="s">
        <v>1757</v>
      </c>
      <c r="D106" s="340" t="s">
        <v>1814</v>
      </c>
      <c r="E106" s="340" t="s">
        <v>1798</v>
      </c>
      <c r="F106" s="365" t="s">
        <v>314</v>
      </c>
      <c r="G106" s="609">
        <v>0</v>
      </c>
      <c r="H106" s="609">
        <v>0</v>
      </c>
      <c r="I106" s="609">
        <v>0</v>
      </c>
      <c r="J106" s="609">
        <v>0</v>
      </c>
      <c r="K106" s="609">
        <v>0</v>
      </c>
      <c r="L106" s="609">
        <v>0</v>
      </c>
      <c r="M106" s="609">
        <v>0</v>
      </c>
      <c r="N106" s="609">
        <v>0</v>
      </c>
      <c r="O106" s="609">
        <v>0</v>
      </c>
      <c r="P106" s="609">
        <v>0</v>
      </c>
      <c r="Q106" s="609">
        <v>0</v>
      </c>
      <c r="R106" s="609">
        <v>0</v>
      </c>
      <c r="S106" s="656">
        <f t="shared" si="15"/>
        <v>0</v>
      </c>
      <c r="T106" s="617">
        <f t="shared" ca="1" si="16"/>
        <v>-1661</v>
      </c>
      <c r="U106" s="611">
        <v>42721</v>
      </c>
      <c r="V106" s="345" t="s">
        <v>1822</v>
      </c>
      <c r="W106" s="612"/>
      <c r="X106" s="613"/>
      <c r="Y106" s="613"/>
      <c r="Z106" s="613"/>
      <c r="AA106" s="613"/>
      <c r="AB106" s="613"/>
      <c r="AC106" s="616"/>
      <c r="AD106" s="346">
        <v>42722</v>
      </c>
      <c r="AE106" s="618">
        <f t="shared" ca="1" si="9"/>
        <v>-531</v>
      </c>
      <c r="AF106" s="339" t="s">
        <v>1763</v>
      </c>
    </row>
    <row r="107" spans="1:32" s="541" customFormat="1" ht="38.25" x14ac:dyDescent="0.2">
      <c r="A107" s="646" t="s">
        <v>1756</v>
      </c>
      <c r="B107" s="339"/>
      <c r="C107" s="339" t="s">
        <v>1757</v>
      </c>
      <c r="D107" s="340" t="s">
        <v>1815</v>
      </c>
      <c r="E107" s="340" t="s">
        <v>1798</v>
      </c>
      <c r="F107" s="365" t="s">
        <v>314</v>
      </c>
      <c r="G107" s="609">
        <v>0</v>
      </c>
      <c r="H107" s="609">
        <v>0</v>
      </c>
      <c r="I107" s="609">
        <v>0</v>
      </c>
      <c r="J107" s="609">
        <v>0</v>
      </c>
      <c r="K107" s="609">
        <v>0</v>
      </c>
      <c r="L107" s="609">
        <v>0</v>
      </c>
      <c r="M107" s="609">
        <v>0</v>
      </c>
      <c r="N107" s="609">
        <v>0</v>
      </c>
      <c r="O107" s="609">
        <v>0</v>
      </c>
      <c r="P107" s="609">
        <v>0</v>
      </c>
      <c r="Q107" s="609">
        <v>0</v>
      </c>
      <c r="R107" s="609">
        <v>0</v>
      </c>
      <c r="S107" s="656">
        <f t="shared" si="15"/>
        <v>0</v>
      </c>
      <c r="T107" s="617">
        <f t="shared" ca="1" si="16"/>
        <v>-1661</v>
      </c>
      <c r="U107" s="611">
        <v>42721</v>
      </c>
      <c r="V107" s="345" t="s">
        <v>1822</v>
      </c>
      <c r="W107" s="612"/>
      <c r="X107" s="613"/>
      <c r="Y107" s="613"/>
      <c r="Z107" s="613"/>
      <c r="AA107" s="613"/>
      <c r="AB107" s="613"/>
      <c r="AC107" s="616"/>
      <c r="AD107" s="346">
        <v>42722</v>
      </c>
      <c r="AE107" s="618">
        <f t="shared" ca="1" si="9"/>
        <v>-531</v>
      </c>
      <c r="AF107" s="339" t="s">
        <v>1763</v>
      </c>
    </row>
    <row r="108" spans="1:32" s="541" customFormat="1" ht="36.75" customHeight="1" x14ac:dyDescent="0.2">
      <c r="A108" s="646" t="s">
        <v>1756</v>
      </c>
      <c r="B108" s="339"/>
      <c r="C108" s="339" t="s">
        <v>1757</v>
      </c>
      <c r="D108" s="340" t="s">
        <v>1816</v>
      </c>
      <c r="E108" s="340" t="s">
        <v>1798</v>
      </c>
      <c r="F108" s="365" t="s">
        <v>314</v>
      </c>
      <c r="G108" s="609">
        <v>0</v>
      </c>
      <c r="H108" s="609">
        <v>0</v>
      </c>
      <c r="I108" s="609">
        <v>0</v>
      </c>
      <c r="J108" s="609">
        <v>0</v>
      </c>
      <c r="K108" s="609">
        <v>0</v>
      </c>
      <c r="L108" s="609">
        <v>0</v>
      </c>
      <c r="M108" s="609">
        <v>0</v>
      </c>
      <c r="N108" s="609">
        <v>0</v>
      </c>
      <c r="O108" s="609">
        <v>0</v>
      </c>
      <c r="P108" s="609">
        <v>0</v>
      </c>
      <c r="Q108" s="609">
        <v>0</v>
      </c>
      <c r="R108" s="609">
        <v>0</v>
      </c>
      <c r="S108" s="656">
        <f t="shared" si="15"/>
        <v>0</v>
      </c>
      <c r="T108" s="617">
        <f t="shared" ca="1" si="16"/>
        <v>-1661</v>
      </c>
      <c r="U108" s="611">
        <v>42721</v>
      </c>
      <c r="V108" s="345" t="s">
        <v>1822</v>
      </c>
      <c r="W108" s="612"/>
      <c r="X108" s="613"/>
      <c r="Y108" s="613"/>
      <c r="Z108" s="613"/>
      <c r="AA108" s="613"/>
      <c r="AB108" s="613"/>
      <c r="AC108" s="616"/>
      <c r="AD108" s="346">
        <v>42722</v>
      </c>
      <c r="AE108" s="618">
        <f t="shared" ca="1" si="9"/>
        <v>-531</v>
      </c>
      <c r="AF108" s="339" t="s">
        <v>1763</v>
      </c>
    </row>
    <row r="109" spans="1:32" s="541" customFormat="1" ht="38.25" x14ac:dyDescent="0.2">
      <c r="A109" s="646" t="s">
        <v>1756</v>
      </c>
      <c r="B109" s="339"/>
      <c r="C109" s="339" t="s">
        <v>1757</v>
      </c>
      <c r="D109" s="340" t="s">
        <v>1817</v>
      </c>
      <c r="E109" s="340" t="s">
        <v>1798</v>
      </c>
      <c r="F109" s="365" t="s">
        <v>314</v>
      </c>
      <c r="G109" s="609">
        <v>0</v>
      </c>
      <c r="H109" s="609">
        <v>0</v>
      </c>
      <c r="I109" s="609">
        <v>0</v>
      </c>
      <c r="J109" s="609">
        <v>0</v>
      </c>
      <c r="K109" s="609">
        <v>0</v>
      </c>
      <c r="L109" s="609">
        <v>0</v>
      </c>
      <c r="M109" s="609">
        <v>0</v>
      </c>
      <c r="N109" s="609">
        <v>0</v>
      </c>
      <c r="O109" s="609">
        <v>0</v>
      </c>
      <c r="P109" s="609">
        <v>0</v>
      </c>
      <c r="Q109" s="609">
        <v>0</v>
      </c>
      <c r="R109" s="609">
        <v>0</v>
      </c>
      <c r="S109" s="656">
        <f t="shared" si="15"/>
        <v>0</v>
      </c>
      <c r="T109" s="617">
        <f t="shared" ca="1" si="16"/>
        <v>-1661</v>
      </c>
      <c r="U109" s="611">
        <v>42721</v>
      </c>
      <c r="V109" s="345" t="s">
        <v>1822</v>
      </c>
      <c r="W109" s="612"/>
      <c r="X109" s="613"/>
      <c r="Y109" s="613"/>
      <c r="Z109" s="613"/>
      <c r="AA109" s="613"/>
      <c r="AB109" s="613"/>
      <c r="AC109" s="616"/>
      <c r="AD109" s="346">
        <v>42722</v>
      </c>
      <c r="AE109" s="618">
        <f t="shared" ca="1" si="9"/>
        <v>-531</v>
      </c>
      <c r="AF109" s="339" t="s">
        <v>1763</v>
      </c>
    </row>
    <row r="110" spans="1:32" s="541" customFormat="1" ht="38.25" x14ac:dyDescent="0.2">
      <c r="A110" s="646" t="s">
        <v>1756</v>
      </c>
      <c r="B110" s="339"/>
      <c r="C110" s="339" t="s">
        <v>1757</v>
      </c>
      <c r="D110" s="340" t="s">
        <v>1818</v>
      </c>
      <c r="E110" s="340" t="s">
        <v>1798</v>
      </c>
      <c r="F110" s="365" t="s">
        <v>314</v>
      </c>
      <c r="G110" s="609">
        <v>0</v>
      </c>
      <c r="H110" s="609">
        <v>0</v>
      </c>
      <c r="I110" s="609">
        <v>0</v>
      </c>
      <c r="J110" s="609">
        <v>0</v>
      </c>
      <c r="K110" s="609">
        <v>0</v>
      </c>
      <c r="L110" s="609">
        <v>0</v>
      </c>
      <c r="M110" s="609">
        <v>0</v>
      </c>
      <c r="N110" s="609">
        <v>0</v>
      </c>
      <c r="O110" s="609">
        <v>0</v>
      </c>
      <c r="P110" s="609">
        <v>0</v>
      </c>
      <c r="Q110" s="609">
        <v>0</v>
      </c>
      <c r="R110" s="609">
        <v>0</v>
      </c>
      <c r="S110" s="656">
        <f t="shared" ref="S110:S144" si="17">SUM(G110:R110)</f>
        <v>0</v>
      </c>
      <c r="T110" s="617">
        <f t="shared" ref="T110:T144" ca="1" si="18">U110-$AE$3</f>
        <v>-1661</v>
      </c>
      <c r="U110" s="611">
        <v>42721</v>
      </c>
      <c r="V110" s="345" t="s">
        <v>1822</v>
      </c>
      <c r="W110" s="612"/>
      <c r="X110" s="613"/>
      <c r="Y110" s="613"/>
      <c r="Z110" s="613"/>
      <c r="AA110" s="613"/>
      <c r="AB110" s="613"/>
      <c r="AC110" s="616"/>
      <c r="AD110" s="346">
        <v>42722</v>
      </c>
      <c r="AE110" s="618">
        <f t="shared" ref="AE110:AE144" ca="1" si="19">TODAY()-DATE(YEAR(AD110)+6,MONTH(AD110),DAY(AD110))</f>
        <v>-531</v>
      </c>
      <c r="AF110" s="339" t="s">
        <v>1763</v>
      </c>
    </row>
    <row r="111" spans="1:32" s="541" customFormat="1" ht="38.25" x14ac:dyDescent="0.2">
      <c r="A111" s="646" t="s">
        <v>1756</v>
      </c>
      <c r="B111" s="339"/>
      <c r="C111" s="339" t="s">
        <v>1757</v>
      </c>
      <c r="D111" s="340" t="s">
        <v>1819</v>
      </c>
      <c r="E111" s="340" t="s">
        <v>1798</v>
      </c>
      <c r="F111" s="365" t="s">
        <v>314</v>
      </c>
      <c r="G111" s="609">
        <v>0</v>
      </c>
      <c r="H111" s="609">
        <v>0</v>
      </c>
      <c r="I111" s="609">
        <v>0</v>
      </c>
      <c r="J111" s="609">
        <v>0</v>
      </c>
      <c r="K111" s="609">
        <v>0</v>
      </c>
      <c r="L111" s="609">
        <v>0</v>
      </c>
      <c r="M111" s="609">
        <v>0</v>
      </c>
      <c r="N111" s="609">
        <v>0</v>
      </c>
      <c r="O111" s="609">
        <v>0</v>
      </c>
      <c r="P111" s="609">
        <v>0</v>
      </c>
      <c r="Q111" s="609">
        <v>0</v>
      </c>
      <c r="R111" s="609">
        <v>0</v>
      </c>
      <c r="S111" s="656">
        <f t="shared" si="17"/>
        <v>0</v>
      </c>
      <c r="T111" s="617">
        <f t="shared" ca="1" si="18"/>
        <v>-1661</v>
      </c>
      <c r="U111" s="611">
        <v>42721</v>
      </c>
      <c r="V111" s="345" t="s">
        <v>1822</v>
      </c>
      <c r="W111" s="612"/>
      <c r="X111" s="613"/>
      <c r="Y111" s="613"/>
      <c r="Z111" s="613"/>
      <c r="AA111" s="613"/>
      <c r="AB111" s="613"/>
      <c r="AC111" s="616"/>
      <c r="AD111" s="346">
        <v>42722</v>
      </c>
      <c r="AE111" s="618">
        <f t="shared" ca="1" si="19"/>
        <v>-531</v>
      </c>
      <c r="AF111" s="339" t="s">
        <v>1763</v>
      </c>
    </row>
    <row r="112" spans="1:32" s="541" customFormat="1" ht="38.25" x14ac:dyDescent="0.2">
      <c r="A112" s="646" t="s">
        <v>1756</v>
      </c>
      <c r="B112" s="339"/>
      <c r="C112" s="339" t="s">
        <v>1757</v>
      </c>
      <c r="D112" s="340" t="s">
        <v>1820</v>
      </c>
      <c r="E112" s="340" t="s">
        <v>1798</v>
      </c>
      <c r="F112" s="365" t="s">
        <v>314</v>
      </c>
      <c r="G112" s="609">
        <v>0</v>
      </c>
      <c r="H112" s="609">
        <v>0</v>
      </c>
      <c r="I112" s="609">
        <v>0</v>
      </c>
      <c r="J112" s="609">
        <v>0</v>
      </c>
      <c r="K112" s="609">
        <v>0</v>
      </c>
      <c r="L112" s="609">
        <v>0</v>
      </c>
      <c r="M112" s="609">
        <v>0</v>
      </c>
      <c r="N112" s="609">
        <v>0</v>
      </c>
      <c r="O112" s="609">
        <v>0</v>
      </c>
      <c r="P112" s="609">
        <v>0</v>
      </c>
      <c r="Q112" s="609">
        <v>0</v>
      </c>
      <c r="R112" s="609">
        <v>0</v>
      </c>
      <c r="S112" s="656">
        <f t="shared" si="17"/>
        <v>0</v>
      </c>
      <c r="T112" s="617">
        <f t="shared" ca="1" si="18"/>
        <v>-1661</v>
      </c>
      <c r="U112" s="611">
        <v>42721</v>
      </c>
      <c r="V112" s="345" t="s">
        <v>1822</v>
      </c>
      <c r="W112" s="612"/>
      <c r="X112" s="613"/>
      <c r="Y112" s="613"/>
      <c r="Z112" s="613"/>
      <c r="AA112" s="613"/>
      <c r="AB112" s="613"/>
      <c r="AC112" s="616"/>
      <c r="AD112" s="346">
        <v>42722</v>
      </c>
      <c r="AE112" s="618">
        <f t="shared" ca="1" si="19"/>
        <v>-531</v>
      </c>
      <c r="AF112" s="339" t="s">
        <v>1763</v>
      </c>
    </row>
    <row r="113" spans="1:32" s="541" customFormat="1" ht="38.25" x14ac:dyDescent="0.2">
      <c r="A113" s="646" t="s">
        <v>1756</v>
      </c>
      <c r="B113" s="339"/>
      <c r="C113" s="339" t="s">
        <v>1757</v>
      </c>
      <c r="D113" s="340" t="s">
        <v>1821</v>
      </c>
      <c r="E113" s="340" t="s">
        <v>1798</v>
      </c>
      <c r="F113" s="365" t="s">
        <v>314</v>
      </c>
      <c r="G113" s="609">
        <v>0</v>
      </c>
      <c r="H113" s="609">
        <v>0</v>
      </c>
      <c r="I113" s="609">
        <v>0</v>
      </c>
      <c r="J113" s="609">
        <v>0</v>
      </c>
      <c r="K113" s="609">
        <v>0</v>
      </c>
      <c r="L113" s="609">
        <v>0</v>
      </c>
      <c r="M113" s="609">
        <v>0</v>
      </c>
      <c r="N113" s="609">
        <v>0</v>
      </c>
      <c r="O113" s="609">
        <v>0</v>
      </c>
      <c r="P113" s="609">
        <v>0</v>
      </c>
      <c r="Q113" s="609">
        <v>0</v>
      </c>
      <c r="R113" s="609">
        <v>0</v>
      </c>
      <c r="S113" s="656">
        <f t="shared" si="17"/>
        <v>0</v>
      </c>
      <c r="T113" s="617">
        <f t="shared" ca="1" si="18"/>
        <v>-1661</v>
      </c>
      <c r="U113" s="611">
        <v>42721</v>
      </c>
      <c r="V113" s="345" t="s">
        <v>1822</v>
      </c>
      <c r="W113" s="612"/>
      <c r="X113" s="613"/>
      <c r="Y113" s="613"/>
      <c r="Z113" s="613"/>
      <c r="AA113" s="613"/>
      <c r="AB113" s="613"/>
      <c r="AC113" s="616"/>
      <c r="AD113" s="346">
        <v>42722</v>
      </c>
      <c r="AE113" s="618">
        <f t="shared" ca="1" si="19"/>
        <v>-531</v>
      </c>
      <c r="AF113" s="339" t="s">
        <v>1763</v>
      </c>
    </row>
    <row r="114" spans="1:32" s="541" customFormat="1" ht="38.25" x14ac:dyDescent="0.2">
      <c r="A114" s="646" t="s">
        <v>1756</v>
      </c>
      <c r="B114" s="339"/>
      <c r="C114" s="339" t="s">
        <v>1757</v>
      </c>
      <c r="D114" s="340" t="s">
        <v>1824</v>
      </c>
      <c r="E114" s="340" t="s">
        <v>1798</v>
      </c>
      <c r="F114" s="365" t="s">
        <v>314</v>
      </c>
      <c r="G114" s="609">
        <v>0</v>
      </c>
      <c r="H114" s="609">
        <v>0</v>
      </c>
      <c r="I114" s="609">
        <v>0</v>
      </c>
      <c r="J114" s="609">
        <v>0</v>
      </c>
      <c r="K114" s="609">
        <v>0</v>
      </c>
      <c r="L114" s="609">
        <v>0</v>
      </c>
      <c r="M114" s="609">
        <v>0</v>
      </c>
      <c r="N114" s="609">
        <v>0</v>
      </c>
      <c r="O114" s="609">
        <v>0</v>
      </c>
      <c r="P114" s="609">
        <v>0</v>
      </c>
      <c r="Q114" s="609">
        <v>0</v>
      </c>
      <c r="R114" s="609">
        <v>0</v>
      </c>
      <c r="S114" s="656">
        <f t="shared" si="17"/>
        <v>0</v>
      </c>
      <c r="T114" s="617">
        <f t="shared" ca="1" si="18"/>
        <v>-1661</v>
      </c>
      <c r="U114" s="611">
        <v>42721</v>
      </c>
      <c r="V114" s="345" t="s">
        <v>1822</v>
      </c>
      <c r="W114" s="612"/>
      <c r="X114" s="613"/>
      <c r="Y114" s="613"/>
      <c r="Z114" s="613"/>
      <c r="AA114" s="613"/>
      <c r="AB114" s="613"/>
      <c r="AC114" s="616"/>
      <c r="AD114" s="346">
        <v>42722</v>
      </c>
      <c r="AE114" s="618">
        <f t="shared" ca="1" si="19"/>
        <v>-531</v>
      </c>
      <c r="AF114" s="339" t="s">
        <v>1763</v>
      </c>
    </row>
    <row r="115" spans="1:32" s="541" customFormat="1" ht="38.25" x14ac:dyDescent="0.2">
      <c r="A115" s="646" t="s">
        <v>1756</v>
      </c>
      <c r="B115" s="339"/>
      <c r="C115" s="339" t="s">
        <v>1757</v>
      </c>
      <c r="D115" s="340" t="s">
        <v>1825</v>
      </c>
      <c r="E115" s="340" t="s">
        <v>1798</v>
      </c>
      <c r="F115" s="365" t="s">
        <v>314</v>
      </c>
      <c r="G115" s="609">
        <v>0</v>
      </c>
      <c r="H115" s="609">
        <v>0</v>
      </c>
      <c r="I115" s="609">
        <v>0</v>
      </c>
      <c r="J115" s="609">
        <v>0</v>
      </c>
      <c r="K115" s="609">
        <v>0</v>
      </c>
      <c r="L115" s="609">
        <v>0</v>
      </c>
      <c r="M115" s="609">
        <v>0</v>
      </c>
      <c r="N115" s="609">
        <v>0</v>
      </c>
      <c r="O115" s="609">
        <v>0</v>
      </c>
      <c r="P115" s="609">
        <v>0</v>
      </c>
      <c r="Q115" s="609">
        <v>0</v>
      </c>
      <c r="R115" s="609">
        <v>0</v>
      </c>
      <c r="S115" s="656">
        <f t="shared" si="17"/>
        <v>0</v>
      </c>
      <c r="T115" s="617">
        <f t="shared" ca="1" si="18"/>
        <v>-1661</v>
      </c>
      <c r="U115" s="611">
        <v>42721</v>
      </c>
      <c r="V115" s="345" t="s">
        <v>1822</v>
      </c>
      <c r="W115" s="612"/>
      <c r="X115" s="613"/>
      <c r="Y115" s="613"/>
      <c r="Z115" s="613"/>
      <c r="AA115" s="613"/>
      <c r="AB115" s="613"/>
      <c r="AC115" s="616"/>
      <c r="AD115" s="346">
        <v>42722</v>
      </c>
      <c r="AE115" s="618">
        <f t="shared" ca="1" si="19"/>
        <v>-531</v>
      </c>
      <c r="AF115" s="339" t="s">
        <v>1763</v>
      </c>
    </row>
    <row r="116" spans="1:32" s="541" customFormat="1" ht="38.25" x14ac:dyDescent="0.2">
      <c r="A116" s="646" t="s">
        <v>1756</v>
      </c>
      <c r="B116" s="339"/>
      <c r="C116" s="339" t="s">
        <v>1757</v>
      </c>
      <c r="D116" s="340" t="s">
        <v>1826</v>
      </c>
      <c r="E116" s="340" t="s">
        <v>1798</v>
      </c>
      <c r="F116" s="365" t="s">
        <v>314</v>
      </c>
      <c r="G116" s="609">
        <v>0</v>
      </c>
      <c r="H116" s="609">
        <v>0</v>
      </c>
      <c r="I116" s="609">
        <v>0</v>
      </c>
      <c r="J116" s="609">
        <v>0</v>
      </c>
      <c r="K116" s="609">
        <v>0</v>
      </c>
      <c r="L116" s="609">
        <v>0</v>
      </c>
      <c r="M116" s="609">
        <v>0</v>
      </c>
      <c r="N116" s="609">
        <v>0</v>
      </c>
      <c r="O116" s="609">
        <v>0</v>
      </c>
      <c r="P116" s="609">
        <v>0</v>
      </c>
      <c r="Q116" s="609">
        <v>0</v>
      </c>
      <c r="R116" s="609">
        <v>0</v>
      </c>
      <c r="S116" s="656">
        <f t="shared" si="17"/>
        <v>0</v>
      </c>
      <c r="T116" s="617">
        <f t="shared" ca="1" si="18"/>
        <v>-1661</v>
      </c>
      <c r="U116" s="611">
        <v>42721</v>
      </c>
      <c r="V116" s="345" t="s">
        <v>1822</v>
      </c>
      <c r="W116" s="612"/>
      <c r="X116" s="613"/>
      <c r="Y116" s="613"/>
      <c r="Z116" s="613"/>
      <c r="AA116" s="613"/>
      <c r="AB116" s="613"/>
      <c r="AC116" s="616"/>
      <c r="AD116" s="346">
        <v>42722</v>
      </c>
      <c r="AE116" s="618">
        <f t="shared" ca="1" si="19"/>
        <v>-531</v>
      </c>
      <c r="AF116" s="339" t="s">
        <v>1763</v>
      </c>
    </row>
    <row r="117" spans="1:32" s="541" customFormat="1" ht="38.25" x14ac:dyDescent="0.2">
      <c r="A117" s="646" t="s">
        <v>1756</v>
      </c>
      <c r="B117" s="339"/>
      <c r="C117" s="339" t="s">
        <v>1757</v>
      </c>
      <c r="D117" s="340" t="s">
        <v>1827</v>
      </c>
      <c r="E117" s="340" t="s">
        <v>1798</v>
      </c>
      <c r="F117" s="365" t="s">
        <v>314</v>
      </c>
      <c r="G117" s="609">
        <v>0</v>
      </c>
      <c r="H117" s="609">
        <v>0</v>
      </c>
      <c r="I117" s="609">
        <v>0</v>
      </c>
      <c r="J117" s="609">
        <v>0</v>
      </c>
      <c r="K117" s="609">
        <v>0</v>
      </c>
      <c r="L117" s="609">
        <v>0</v>
      </c>
      <c r="M117" s="609">
        <v>0</v>
      </c>
      <c r="N117" s="609">
        <v>0</v>
      </c>
      <c r="O117" s="609">
        <v>0</v>
      </c>
      <c r="P117" s="609">
        <v>0</v>
      </c>
      <c r="Q117" s="609">
        <v>0</v>
      </c>
      <c r="R117" s="609">
        <v>0</v>
      </c>
      <c r="S117" s="656">
        <f t="shared" si="17"/>
        <v>0</v>
      </c>
      <c r="T117" s="617">
        <f t="shared" ca="1" si="18"/>
        <v>-1661</v>
      </c>
      <c r="U117" s="611">
        <v>42721</v>
      </c>
      <c r="V117" s="345" t="s">
        <v>1822</v>
      </c>
      <c r="W117" s="612"/>
      <c r="X117" s="613"/>
      <c r="Y117" s="613"/>
      <c r="Z117" s="613"/>
      <c r="AA117" s="613"/>
      <c r="AB117" s="613"/>
      <c r="AC117" s="616"/>
      <c r="AD117" s="346">
        <v>42722</v>
      </c>
      <c r="AE117" s="618">
        <f t="shared" ca="1" si="19"/>
        <v>-531</v>
      </c>
      <c r="AF117" s="339" t="s">
        <v>1763</v>
      </c>
    </row>
    <row r="118" spans="1:32" s="541" customFormat="1" ht="38.25" x14ac:dyDescent="0.2">
      <c r="A118" s="646" t="s">
        <v>1756</v>
      </c>
      <c r="B118" s="339"/>
      <c r="C118" s="339" t="s">
        <v>1757</v>
      </c>
      <c r="D118" s="340" t="s">
        <v>1828</v>
      </c>
      <c r="E118" s="340" t="s">
        <v>1798</v>
      </c>
      <c r="F118" s="365" t="s">
        <v>314</v>
      </c>
      <c r="G118" s="609">
        <v>0</v>
      </c>
      <c r="H118" s="609">
        <v>0</v>
      </c>
      <c r="I118" s="609">
        <v>0</v>
      </c>
      <c r="J118" s="609">
        <v>0</v>
      </c>
      <c r="K118" s="609">
        <v>0</v>
      </c>
      <c r="L118" s="609">
        <v>0</v>
      </c>
      <c r="M118" s="609">
        <v>0</v>
      </c>
      <c r="N118" s="609">
        <v>0</v>
      </c>
      <c r="O118" s="609">
        <v>0</v>
      </c>
      <c r="P118" s="609">
        <v>0</v>
      </c>
      <c r="Q118" s="609">
        <v>0</v>
      </c>
      <c r="R118" s="609">
        <v>0</v>
      </c>
      <c r="S118" s="656">
        <f t="shared" si="17"/>
        <v>0</v>
      </c>
      <c r="T118" s="617">
        <f t="shared" ca="1" si="18"/>
        <v>-1661</v>
      </c>
      <c r="U118" s="611">
        <v>42721</v>
      </c>
      <c r="V118" s="345" t="s">
        <v>1822</v>
      </c>
      <c r="W118" s="612"/>
      <c r="X118" s="613"/>
      <c r="Y118" s="613"/>
      <c r="Z118" s="613"/>
      <c r="AA118" s="613"/>
      <c r="AB118" s="613"/>
      <c r="AC118" s="616"/>
      <c r="AD118" s="346">
        <v>42722</v>
      </c>
      <c r="AE118" s="618">
        <f t="shared" ca="1" si="19"/>
        <v>-531</v>
      </c>
      <c r="AF118" s="339" t="s">
        <v>1763</v>
      </c>
    </row>
    <row r="119" spans="1:32" s="541" customFormat="1" ht="38.25" x14ac:dyDescent="0.2">
      <c r="A119" s="646" t="s">
        <v>1756</v>
      </c>
      <c r="B119" s="339"/>
      <c r="C119" s="339" t="s">
        <v>1757</v>
      </c>
      <c r="D119" s="340" t="s">
        <v>1829</v>
      </c>
      <c r="E119" s="340" t="s">
        <v>1798</v>
      </c>
      <c r="F119" s="365" t="s">
        <v>314</v>
      </c>
      <c r="G119" s="609">
        <v>0</v>
      </c>
      <c r="H119" s="609">
        <v>0</v>
      </c>
      <c r="I119" s="609">
        <v>0</v>
      </c>
      <c r="J119" s="609">
        <v>0</v>
      </c>
      <c r="K119" s="609">
        <v>0</v>
      </c>
      <c r="L119" s="609">
        <v>0</v>
      </c>
      <c r="M119" s="609">
        <v>0</v>
      </c>
      <c r="N119" s="609">
        <v>0</v>
      </c>
      <c r="O119" s="609">
        <v>0</v>
      </c>
      <c r="P119" s="609">
        <v>0</v>
      </c>
      <c r="Q119" s="609">
        <v>0</v>
      </c>
      <c r="R119" s="609">
        <v>0</v>
      </c>
      <c r="S119" s="656">
        <f t="shared" si="17"/>
        <v>0</v>
      </c>
      <c r="T119" s="617">
        <f t="shared" ca="1" si="18"/>
        <v>-1661</v>
      </c>
      <c r="U119" s="611">
        <v>42721</v>
      </c>
      <c r="V119" s="345" t="s">
        <v>1822</v>
      </c>
      <c r="W119" s="612"/>
      <c r="X119" s="613"/>
      <c r="Y119" s="613"/>
      <c r="Z119" s="613"/>
      <c r="AA119" s="613"/>
      <c r="AB119" s="613"/>
      <c r="AC119" s="616"/>
      <c r="AD119" s="346">
        <v>42722</v>
      </c>
      <c r="AE119" s="618">
        <f t="shared" ca="1" si="19"/>
        <v>-531</v>
      </c>
      <c r="AF119" s="339" t="s">
        <v>1763</v>
      </c>
    </row>
    <row r="120" spans="1:32" s="541" customFormat="1" ht="38.25" x14ac:dyDescent="0.2">
      <c r="A120" s="646" t="s">
        <v>1756</v>
      </c>
      <c r="B120" s="339"/>
      <c r="C120" s="339" t="s">
        <v>1757</v>
      </c>
      <c r="D120" s="340" t="s">
        <v>1830</v>
      </c>
      <c r="E120" s="340" t="s">
        <v>1798</v>
      </c>
      <c r="F120" s="365" t="s">
        <v>314</v>
      </c>
      <c r="G120" s="609">
        <v>0</v>
      </c>
      <c r="H120" s="609">
        <v>0</v>
      </c>
      <c r="I120" s="609">
        <v>0</v>
      </c>
      <c r="J120" s="609">
        <v>0</v>
      </c>
      <c r="K120" s="609">
        <v>0</v>
      </c>
      <c r="L120" s="609">
        <v>0</v>
      </c>
      <c r="M120" s="609">
        <v>0</v>
      </c>
      <c r="N120" s="609">
        <v>0</v>
      </c>
      <c r="O120" s="609">
        <v>0</v>
      </c>
      <c r="P120" s="609">
        <v>0</v>
      </c>
      <c r="Q120" s="609">
        <v>0</v>
      </c>
      <c r="R120" s="609">
        <v>0</v>
      </c>
      <c r="S120" s="656">
        <f t="shared" si="17"/>
        <v>0</v>
      </c>
      <c r="T120" s="617">
        <f t="shared" ca="1" si="18"/>
        <v>-1661</v>
      </c>
      <c r="U120" s="611">
        <v>42721</v>
      </c>
      <c r="V120" s="345" t="s">
        <v>1822</v>
      </c>
      <c r="W120" s="612"/>
      <c r="X120" s="613"/>
      <c r="Y120" s="613"/>
      <c r="Z120" s="613"/>
      <c r="AA120" s="613"/>
      <c r="AB120" s="613"/>
      <c r="AC120" s="616"/>
      <c r="AD120" s="346">
        <v>42722</v>
      </c>
      <c r="AE120" s="618">
        <f t="shared" ca="1" si="19"/>
        <v>-531</v>
      </c>
      <c r="AF120" s="339" t="s">
        <v>1763</v>
      </c>
    </row>
    <row r="121" spans="1:32" s="541" customFormat="1" ht="38.25" x14ac:dyDescent="0.2">
      <c r="A121" s="646" t="s">
        <v>1756</v>
      </c>
      <c r="B121" s="339"/>
      <c r="C121" s="339" t="s">
        <v>1757</v>
      </c>
      <c r="D121" s="340" t="s">
        <v>1831</v>
      </c>
      <c r="E121" s="340" t="s">
        <v>1798</v>
      </c>
      <c r="F121" s="365" t="s">
        <v>314</v>
      </c>
      <c r="G121" s="609">
        <v>0</v>
      </c>
      <c r="H121" s="609">
        <v>0</v>
      </c>
      <c r="I121" s="609">
        <v>0</v>
      </c>
      <c r="J121" s="609">
        <v>0</v>
      </c>
      <c r="K121" s="609">
        <v>0</v>
      </c>
      <c r="L121" s="609">
        <v>0</v>
      </c>
      <c r="M121" s="609">
        <v>0</v>
      </c>
      <c r="N121" s="609">
        <v>0</v>
      </c>
      <c r="O121" s="609">
        <v>0</v>
      </c>
      <c r="P121" s="609">
        <v>0</v>
      </c>
      <c r="Q121" s="609">
        <v>0</v>
      </c>
      <c r="R121" s="609">
        <v>0</v>
      </c>
      <c r="S121" s="656">
        <f t="shared" si="17"/>
        <v>0</v>
      </c>
      <c r="T121" s="617">
        <f t="shared" ca="1" si="18"/>
        <v>-1661</v>
      </c>
      <c r="U121" s="611">
        <v>42721</v>
      </c>
      <c r="V121" s="345" t="s">
        <v>1822</v>
      </c>
      <c r="W121" s="612"/>
      <c r="X121" s="613"/>
      <c r="Y121" s="613"/>
      <c r="Z121" s="613"/>
      <c r="AA121" s="613"/>
      <c r="AB121" s="613"/>
      <c r="AC121" s="616"/>
      <c r="AD121" s="346">
        <v>42722</v>
      </c>
      <c r="AE121" s="618">
        <f t="shared" ca="1" si="19"/>
        <v>-531</v>
      </c>
      <c r="AF121" s="339" t="s">
        <v>1763</v>
      </c>
    </row>
    <row r="122" spans="1:32" s="541" customFormat="1" ht="38.25" x14ac:dyDescent="0.2">
      <c r="A122" s="646" t="s">
        <v>1756</v>
      </c>
      <c r="B122" s="339"/>
      <c r="C122" s="339" t="s">
        <v>1757</v>
      </c>
      <c r="D122" s="340" t="s">
        <v>1832</v>
      </c>
      <c r="E122" s="340" t="s">
        <v>1798</v>
      </c>
      <c r="F122" s="365" t="s">
        <v>314</v>
      </c>
      <c r="G122" s="609">
        <v>0</v>
      </c>
      <c r="H122" s="609">
        <v>0</v>
      </c>
      <c r="I122" s="609">
        <v>0</v>
      </c>
      <c r="J122" s="609">
        <v>0</v>
      </c>
      <c r="K122" s="609">
        <v>0</v>
      </c>
      <c r="L122" s="609">
        <v>0</v>
      </c>
      <c r="M122" s="609">
        <v>0</v>
      </c>
      <c r="N122" s="609">
        <v>0</v>
      </c>
      <c r="O122" s="609">
        <v>0</v>
      </c>
      <c r="P122" s="609">
        <v>0</v>
      </c>
      <c r="Q122" s="609">
        <v>0</v>
      </c>
      <c r="R122" s="609">
        <v>0</v>
      </c>
      <c r="S122" s="656">
        <f t="shared" si="17"/>
        <v>0</v>
      </c>
      <c r="T122" s="617">
        <f t="shared" ca="1" si="18"/>
        <v>-1661</v>
      </c>
      <c r="U122" s="611">
        <v>42721</v>
      </c>
      <c r="V122" s="345" t="s">
        <v>1822</v>
      </c>
      <c r="W122" s="612"/>
      <c r="X122" s="613"/>
      <c r="Y122" s="613"/>
      <c r="Z122" s="613"/>
      <c r="AA122" s="613"/>
      <c r="AB122" s="613"/>
      <c r="AC122" s="616"/>
      <c r="AD122" s="346">
        <v>42722</v>
      </c>
      <c r="AE122" s="618">
        <f t="shared" ca="1" si="19"/>
        <v>-531</v>
      </c>
      <c r="AF122" s="339" t="s">
        <v>1763</v>
      </c>
    </row>
    <row r="123" spans="1:32" s="541" customFormat="1" ht="38.25" x14ac:dyDescent="0.2">
      <c r="A123" s="646" t="s">
        <v>1756</v>
      </c>
      <c r="B123" s="339"/>
      <c r="C123" s="339" t="s">
        <v>1757</v>
      </c>
      <c r="D123" s="340" t="s">
        <v>1833</v>
      </c>
      <c r="E123" s="340" t="s">
        <v>1798</v>
      </c>
      <c r="F123" s="365" t="s">
        <v>314</v>
      </c>
      <c r="G123" s="609">
        <v>0</v>
      </c>
      <c r="H123" s="609">
        <v>0</v>
      </c>
      <c r="I123" s="609">
        <v>0</v>
      </c>
      <c r="J123" s="609">
        <v>0</v>
      </c>
      <c r="K123" s="609">
        <v>0</v>
      </c>
      <c r="L123" s="609">
        <v>0</v>
      </c>
      <c r="M123" s="609">
        <v>0</v>
      </c>
      <c r="N123" s="609">
        <v>0</v>
      </c>
      <c r="O123" s="609">
        <v>0</v>
      </c>
      <c r="P123" s="609">
        <v>0</v>
      </c>
      <c r="Q123" s="609">
        <v>0</v>
      </c>
      <c r="R123" s="609">
        <v>0</v>
      </c>
      <c r="S123" s="656">
        <f t="shared" si="17"/>
        <v>0</v>
      </c>
      <c r="T123" s="617">
        <f t="shared" ca="1" si="18"/>
        <v>-1661</v>
      </c>
      <c r="U123" s="611">
        <v>42721</v>
      </c>
      <c r="V123" s="345" t="s">
        <v>1822</v>
      </c>
      <c r="W123" s="612"/>
      <c r="X123" s="613"/>
      <c r="Y123" s="613"/>
      <c r="Z123" s="613"/>
      <c r="AA123" s="613"/>
      <c r="AB123" s="613"/>
      <c r="AC123" s="616"/>
      <c r="AD123" s="346">
        <v>42722</v>
      </c>
      <c r="AE123" s="618">
        <f t="shared" ca="1" si="19"/>
        <v>-531</v>
      </c>
      <c r="AF123" s="339" t="s">
        <v>1763</v>
      </c>
    </row>
    <row r="124" spans="1:32" s="541" customFormat="1" ht="51" x14ac:dyDescent="0.2">
      <c r="A124" s="646" t="s">
        <v>1756</v>
      </c>
      <c r="B124" s="339"/>
      <c r="C124" s="339" t="s">
        <v>1757</v>
      </c>
      <c r="D124" s="340" t="s">
        <v>1834</v>
      </c>
      <c r="E124" s="340" t="s">
        <v>1798</v>
      </c>
      <c r="F124" s="365" t="s">
        <v>314</v>
      </c>
      <c r="G124" s="609">
        <v>0</v>
      </c>
      <c r="H124" s="609">
        <v>0</v>
      </c>
      <c r="I124" s="609">
        <v>0</v>
      </c>
      <c r="J124" s="609">
        <v>0</v>
      </c>
      <c r="K124" s="609">
        <v>0</v>
      </c>
      <c r="L124" s="609">
        <v>0</v>
      </c>
      <c r="M124" s="609">
        <v>0</v>
      </c>
      <c r="N124" s="609">
        <v>0</v>
      </c>
      <c r="O124" s="609">
        <v>0</v>
      </c>
      <c r="P124" s="609">
        <v>0</v>
      </c>
      <c r="Q124" s="609">
        <v>0</v>
      </c>
      <c r="R124" s="609">
        <v>0</v>
      </c>
      <c r="S124" s="656">
        <f t="shared" si="17"/>
        <v>0</v>
      </c>
      <c r="T124" s="617">
        <f t="shared" ca="1" si="18"/>
        <v>-1661</v>
      </c>
      <c r="U124" s="611">
        <v>42721</v>
      </c>
      <c r="V124" s="345" t="s">
        <v>1822</v>
      </c>
      <c r="W124" s="612"/>
      <c r="X124" s="613"/>
      <c r="Y124" s="613"/>
      <c r="Z124" s="613"/>
      <c r="AA124" s="613"/>
      <c r="AB124" s="613"/>
      <c r="AC124" s="616"/>
      <c r="AD124" s="346">
        <v>42722</v>
      </c>
      <c r="AE124" s="618">
        <f t="shared" ca="1" si="19"/>
        <v>-531</v>
      </c>
      <c r="AF124" s="339" t="s">
        <v>1763</v>
      </c>
    </row>
    <row r="125" spans="1:32" s="541" customFormat="1" x14ac:dyDescent="0.2">
      <c r="A125" s="646"/>
      <c r="B125" s="339"/>
      <c r="C125" s="339"/>
      <c r="D125" s="340"/>
      <c r="E125" s="340"/>
      <c r="F125" s="365"/>
      <c r="G125" s="609"/>
      <c r="H125" s="609"/>
      <c r="I125" s="609"/>
      <c r="J125" s="609"/>
      <c r="K125" s="609"/>
      <c r="L125" s="609"/>
      <c r="M125" s="609"/>
      <c r="N125" s="609"/>
      <c r="O125" s="609"/>
      <c r="P125" s="609"/>
      <c r="Q125" s="609"/>
      <c r="R125" s="609"/>
      <c r="S125" s="656">
        <f t="shared" si="17"/>
        <v>0</v>
      </c>
      <c r="T125" s="617">
        <f t="shared" ca="1" si="18"/>
        <v>-44382</v>
      </c>
      <c r="U125" s="611"/>
      <c r="V125" s="345"/>
      <c r="W125" s="612"/>
      <c r="X125" s="613"/>
      <c r="Y125" s="613"/>
      <c r="Z125" s="613"/>
      <c r="AA125" s="613"/>
      <c r="AB125" s="613"/>
      <c r="AC125" s="616"/>
      <c r="AD125" s="346"/>
      <c r="AE125" s="618">
        <f t="shared" ca="1" si="19"/>
        <v>42190</v>
      </c>
      <c r="AF125" s="339"/>
    </row>
    <row r="126" spans="1:32" s="541" customFormat="1" x14ac:dyDescent="0.2">
      <c r="A126" s="646"/>
      <c r="B126" s="339"/>
      <c r="C126" s="339"/>
      <c r="D126" s="340"/>
      <c r="E126" s="340"/>
      <c r="F126" s="365"/>
      <c r="G126" s="609"/>
      <c r="H126" s="609"/>
      <c r="I126" s="609"/>
      <c r="J126" s="609"/>
      <c r="K126" s="609"/>
      <c r="L126" s="609"/>
      <c r="M126" s="609"/>
      <c r="N126" s="609"/>
      <c r="O126" s="609"/>
      <c r="P126" s="609"/>
      <c r="Q126" s="609"/>
      <c r="R126" s="609"/>
      <c r="S126" s="656">
        <f t="shared" si="17"/>
        <v>0</v>
      </c>
      <c r="T126" s="617">
        <f t="shared" ca="1" si="18"/>
        <v>-44382</v>
      </c>
      <c r="U126" s="611"/>
      <c r="V126" s="345"/>
      <c r="W126" s="612"/>
      <c r="X126" s="613"/>
      <c r="Y126" s="613"/>
      <c r="Z126" s="613"/>
      <c r="AA126" s="613"/>
      <c r="AB126" s="613"/>
      <c r="AC126" s="616"/>
      <c r="AD126" s="346"/>
      <c r="AE126" s="618">
        <f t="shared" ca="1" si="19"/>
        <v>42190</v>
      </c>
      <c r="AF126" s="339"/>
    </row>
    <row r="127" spans="1:32" s="541" customFormat="1" x14ac:dyDescent="0.2">
      <c r="A127" s="646"/>
      <c r="B127" s="339"/>
      <c r="C127" s="339"/>
      <c r="D127" s="340"/>
      <c r="E127" s="340"/>
      <c r="F127" s="365"/>
      <c r="G127" s="609"/>
      <c r="H127" s="609"/>
      <c r="I127" s="609"/>
      <c r="J127" s="609"/>
      <c r="K127" s="609"/>
      <c r="L127" s="609"/>
      <c r="M127" s="609"/>
      <c r="N127" s="609"/>
      <c r="O127" s="609"/>
      <c r="P127" s="609"/>
      <c r="Q127" s="609"/>
      <c r="R127" s="609"/>
      <c r="S127" s="656">
        <f t="shared" si="17"/>
        <v>0</v>
      </c>
      <c r="T127" s="617">
        <f t="shared" ca="1" si="18"/>
        <v>-44382</v>
      </c>
      <c r="U127" s="611"/>
      <c r="V127" s="345"/>
      <c r="W127" s="612"/>
      <c r="X127" s="613"/>
      <c r="Y127" s="613"/>
      <c r="Z127" s="613"/>
      <c r="AA127" s="613"/>
      <c r="AB127" s="613"/>
      <c r="AC127" s="616"/>
      <c r="AD127" s="346"/>
      <c r="AE127" s="618">
        <f t="shared" ca="1" si="19"/>
        <v>42190</v>
      </c>
      <c r="AF127" s="339"/>
    </row>
    <row r="128" spans="1:32" s="541" customFormat="1" x14ac:dyDescent="0.2">
      <c r="A128" s="646"/>
      <c r="B128" s="339"/>
      <c r="C128" s="339"/>
      <c r="D128" s="340"/>
      <c r="E128" s="340"/>
      <c r="F128" s="365"/>
      <c r="G128" s="609"/>
      <c r="H128" s="609"/>
      <c r="I128" s="609"/>
      <c r="J128" s="609"/>
      <c r="K128" s="609"/>
      <c r="L128" s="609"/>
      <c r="M128" s="609"/>
      <c r="N128" s="609"/>
      <c r="O128" s="609"/>
      <c r="P128" s="609"/>
      <c r="Q128" s="609"/>
      <c r="R128" s="609"/>
      <c r="S128" s="656">
        <f t="shared" si="17"/>
        <v>0</v>
      </c>
      <c r="T128" s="617">
        <f t="shared" ca="1" si="18"/>
        <v>-44382</v>
      </c>
      <c r="U128" s="611"/>
      <c r="V128" s="345"/>
      <c r="W128" s="612"/>
      <c r="X128" s="613"/>
      <c r="Y128" s="613"/>
      <c r="Z128" s="613"/>
      <c r="AA128" s="613"/>
      <c r="AB128" s="613"/>
      <c r="AC128" s="616"/>
      <c r="AD128" s="346"/>
      <c r="AE128" s="618">
        <f t="shared" ca="1" si="19"/>
        <v>42190</v>
      </c>
      <c r="AF128" s="339"/>
    </row>
    <row r="129" spans="1:32" s="541" customFormat="1" x14ac:dyDescent="0.2">
      <c r="A129" s="646"/>
      <c r="B129" s="339"/>
      <c r="C129" s="339"/>
      <c r="D129" s="340"/>
      <c r="E129" s="340"/>
      <c r="F129" s="365"/>
      <c r="G129" s="609"/>
      <c r="H129" s="609"/>
      <c r="I129" s="609"/>
      <c r="J129" s="609"/>
      <c r="K129" s="609"/>
      <c r="L129" s="609"/>
      <c r="M129" s="609"/>
      <c r="N129" s="609"/>
      <c r="O129" s="609"/>
      <c r="P129" s="609"/>
      <c r="Q129" s="609"/>
      <c r="R129" s="609"/>
      <c r="S129" s="656">
        <f t="shared" si="17"/>
        <v>0</v>
      </c>
      <c r="T129" s="617">
        <f t="shared" ca="1" si="18"/>
        <v>-44382</v>
      </c>
      <c r="U129" s="611"/>
      <c r="V129" s="345"/>
      <c r="W129" s="612"/>
      <c r="X129" s="613"/>
      <c r="Y129" s="613"/>
      <c r="Z129" s="613"/>
      <c r="AA129" s="613"/>
      <c r="AB129" s="613"/>
      <c r="AC129" s="616"/>
      <c r="AD129" s="346"/>
      <c r="AE129" s="618">
        <f t="shared" ca="1" si="19"/>
        <v>42190</v>
      </c>
      <c r="AF129" s="339"/>
    </row>
    <row r="130" spans="1:32" s="541" customFormat="1" x14ac:dyDescent="0.2">
      <c r="A130" s="646"/>
      <c r="B130" s="339"/>
      <c r="C130" s="339"/>
      <c r="D130" s="340"/>
      <c r="E130" s="340"/>
      <c r="F130" s="365"/>
      <c r="G130" s="609"/>
      <c r="H130" s="609"/>
      <c r="I130" s="609"/>
      <c r="J130" s="609"/>
      <c r="K130" s="609"/>
      <c r="L130" s="609"/>
      <c r="M130" s="609"/>
      <c r="N130" s="609"/>
      <c r="O130" s="609"/>
      <c r="P130" s="609"/>
      <c r="Q130" s="609"/>
      <c r="R130" s="609"/>
      <c r="S130" s="656">
        <f t="shared" si="17"/>
        <v>0</v>
      </c>
      <c r="T130" s="617">
        <f t="shared" ca="1" si="18"/>
        <v>-44382</v>
      </c>
      <c r="U130" s="611"/>
      <c r="V130" s="345"/>
      <c r="W130" s="612"/>
      <c r="X130" s="613"/>
      <c r="Y130" s="613"/>
      <c r="Z130" s="613"/>
      <c r="AA130" s="613"/>
      <c r="AB130" s="613"/>
      <c r="AC130" s="616"/>
      <c r="AD130" s="346"/>
      <c r="AE130" s="618">
        <f t="shared" ca="1" si="19"/>
        <v>42190</v>
      </c>
      <c r="AF130" s="339"/>
    </row>
    <row r="131" spans="1:32" s="541" customFormat="1" x14ac:dyDescent="0.2">
      <c r="A131" s="646"/>
      <c r="B131" s="339"/>
      <c r="C131" s="339"/>
      <c r="D131" s="340"/>
      <c r="E131" s="340"/>
      <c r="F131" s="365"/>
      <c r="G131" s="609"/>
      <c r="H131" s="609"/>
      <c r="I131" s="609"/>
      <c r="J131" s="609"/>
      <c r="K131" s="609"/>
      <c r="L131" s="609"/>
      <c r="M131" s="609"/>
      <c r="N131" s="609"/>
      <c r="O131" s="609"/>
      <c r="P131" s="609"/>
      <c r="Q131" s="609"/>
      <c r="R131" s="609"/>
      <c r="S131" s="656">
        <f t="shared" si="17"/>
        <v>0</v>
      </c>
      <c r="T131" s="617">
        <f t="shared" ca="1" si="18"/>
        <v>-44382</v>
      </c>
      <c r="U131" s="611"/>
      <c r="V131" s="345"/>
      <c r="W131" s="612"/>
      <c r="X131" s="613"/>
      <c r="Y131" s="613"/>
      <c r="Z131" s="613"/>
      <c r="AA131" s="613"/>
      <c r="AB131" s="613"/>
      <c r="AC131" s="616"/>
      <c r="AD131" s="346"/>
      <c r="AE131" s="618">
        <f t="shared" ca="1" si="19"/>
        <v>42190</v>
      </c>
      <c r="AF131" s="339"/>
    </row>
    <row r="132" spans="1:32" s="541" customFormat="1" x14ac:dyDescent="0.2">
      <c r="A132" s="646"/>
      <c r="B132" s="339"/>
      <c r="C132" s="339"/>
      <c r="D132" s="340"/>
      <c r="E132" s="340"/>
      <c r="F132" s="365"/>
      <c r="G132" s="609"/>
      <c r="H132" s="609"/>
      <c r="I132" s="609"/>
      <c r="J132" s="609"/>
      <c r="K132" s="609"/>
      <c r="L132" s="609"/>
      <c r="M132" s="609"/>
      <c r="N132" s="609"/>
      <c r="O132" s="609"/>
      <c r="P132" s="609"/>
      <c r="Q132" s="609"/>
      <c r="R132" s="609"/>
      <c r="S132" s="656">
        <f t="shared" si="17"/>
        <v>0</v>
      </c>
      <c r="T132" s="617">
        <f t="shared" ca="1" si="18"/>
        <v>-44382</v>
      </c>
      <c r="U132" s="611"/>
      <c r="V132" s="345"/>
      <c r="W132" s="612"/>
      <c r="X132" s="613"/>
      <c r="Y132" s="613"/>
      <c r="Z132" s="613"/>
      <c r="AA132" s="613"/>
      <c r="AB132" s="613"/>
      <c r="AC132" s="616"/>
      <c r="AD132" s="346"/>
      <c r="AE132" s="618">
        <f t="shared" ca="1" si="19"/>
        <v>42190</v>
      </c>
      <c r="AF132" s="339"/>
    </row>
    <row r="133" spans="1:32" s="541" customFormat="1" x14ac:dyDescent="0.2">
      <c r="A133" s="646"/>
      <c r="B133" s="339"/>
      <c r="C133" s="339"/>
      <c r="D133" s="340"/>
      <c r="E133" s="340"/>
      <c r="F133" s="365"/>
      <c r="G133" s="609"/>
      <c r="H133" s="609"/>
      <c r="I133" s="609"/>
      <c r="J133" s="609"/>
      <c r="K133" s="609"/>
      <c r="L133" s="609"/>
      <c r="M133" s="609"/>
      <c r="N133" s="609"/>
      <c r="O133" s="609"/>
      <c r="P133" s="609"/>
      <c r="Q133" s="609"/>
      <c r="R133" s="609"/>
      <c r="S133" s="656">
        <f t="shared" si="17"/>
        <v>0</v>
      </c>
      <c r="T133" s="617">
        <f t="shared" ca="1" si="18"/>
        <v>-44382</v>
      </c>
      <c r="U133" s="611"/>
      <c r="V133" s="345"/>
      <c r="W133" s="612"/>
      <c r="X133" s="613"/>
      <c r="Y133" s="613"/>
      <c r="Z133" s="613"/>
      <c r="AA133" s="613"/>
      <c r="AB133" s="613"/>
      <c r="AC133" s="616"/>
      <c r="AD133" s="346"/>
      <c r="AE133" s="618">
        <f t="shared" ca="1" si="19"/>
        <v>42190</v>
      </c>
      <c r="AF133" s="339"/>
    </row>
    <row r="134" spans="1:32" s="541" customFormat="1" x14ac:dyDescent="0.2">
      <c r="A134" s="646"/>
      <c r="B134" s="339"/>
      <c r="C134" s="339"/>
      <c r="D134" s="340"/>
      <c r="E134" s="340"/>
      <c r="F134" s="365"/>
      <c r="G134" s="609"/>
      <c r="H134" s="609"/>
      <c r="I134" s="609"/>
      <c r="J134" s="609"/>
      <c r="K134" s="609"/>
      <c r="L134" s="609"/>
      <c r="M134" s="609"/>
      <c r="N134" s="609"/>
      <c r="O134" s="609"/>
      <c r="P134" s="609"/>
      <c r="Q134" s="609"/>
      <c r="R134" s="609"/>
      <c r="S134" s="656">
        <f t="shared" si="17"/>
        <v>0</v>
      </c>
      <c r="T134" s="617">
        <f t="shared" ca="1" si="18"/>
        <v>-44382</v>
      </c>
      <c r="U134" s="611"/>
      <c r="V134" s="345"/>
      <c r="W134" s="612"/>
      <c r="X134" s="613"/>
      <c r="Y134" s="613"/>
      <c r="Z134" s="613"/>
      <c r="AA134" s="613"/>
      <c r="AB134" s="613"/>
      <c r="AC134" s="616"/>
      <c r="AD134" s="346"/>
      <c r="AE134" s="618">
        <f t="shared" ca="1" si="19"/>
        <v>42190</v>
      </c>
      <c r="AF134" s="339"/>
    </row>
    <row r="135" spans="1:32" s="541" customFormat="1" x14ac:dyDescent="0.2">
      <c r="A135" s="646"/>
      <c r="B135" s="339"/>
      <c r="C135" s="339"/>
      <c r="D135" s="340"/>
      <c r="E135" s="340"/>
      <c r="F135" s="365"/>
      <c r="G135" s="609"/>
      <c r="H135" s="609"/>
      <c r="I135" s="609"/>
      <c r="J135" s="609"/>
      <c r="K135" s="609"/>
      <c r="L135" s="609"/>
      <c r="M135" s="609"/>
      <c r="N135" s="609"/>
      <c r="O135" s="609"/>
      <c r="P135" s="609"/>
      <c r="Q135" s="609"/>
      <c r="R135" s="609"/>
      <c r="S135" s="656">
        <f>SUM(G135:R135)</f>
        <v>0</v>
      </c>
      <c r="T135" s="617">
        <f ca="1">U135-$AE$3</f>
        <v>-44382</v>
      </c>
      <c r="U135" s="611"/>
      <c r="V135" s="345"/>
      <c r="W135" s="612"/>
      <c r="X135" s="613"/>
      <c r="Y135" s="613"/>
      <c r="Z135" s="613"/>
      <c r="AA135" s="613"/>
      <c r="AB135" s="613"/>
      <c r="AC135" s="616"/>
      <c r="AD135" s="346"/>
      <c r="AE135" s="618">
        <f ca="1">TODAY()-DATE(YEAR(AD135)+6,MONTH(AD135),DAY(AD135))</f>
        <v>42190</v>
      </c>
      <c r="AF135" s="339"/>
    </row>
    <row r="136" spans="1:32" s="541" customFormat="1" x14ac:dyDescent="0.2">
      <c r="A136" s="646"/>
      <c r="B136" s="339"/>
      <c r="C136" s="339"/>
      <c r="D136" s="340"/>
      <c r="E136" s="340"/>
      <c r="F136" s="365"/>
      <c r="G136" s="609"/>
      <c r="H136" s="609"/>
      <c r="I136" s="609"/>
      <c r="J136" s="609"/>
      <c r="K136" s="609"/>
      <c r="L136" s="609"/>
      <c r="M136" s="609"/>
      <c r="N136" s="609"/>
      <c r="O136" s="609"/>
      <c r="P136" s="609"/>
      <c r="Q136" s="609"/>
      <c r="R136" s="609"/>
      <c r="S136" s="656">
        <f>SUM(G136:R136)</f>
        <v>0</v>
      </c>
      <c r="T136" s="617">
        <f ca="1">U136-$AE$3</f>
        <v>-44382</v>
      </c>
      <c r="U136" s="611"/>
      <c r="V136" s="345"/>
      <c r="W136" s="612"/>
      <c r="X136" s="613"/>
      <c r="Y136" s="613"/>
      <c r="Z136" s="613"/>
      <c r="AA136" s="613"/>
      <c r="AB136" s="613"/>
      <c r="AC136" s="616"/>
      <c r="AD136" s="346"/>
      <c r="AE136" s="618">
        <f ca="1">TODAY()-DATE(YEAR(AD136)+6,MONTH(AD136),DAY(AD136))</f>
        <v>42190</v>
      </c>
      <c r="AF136" s="339"/>
    </row>
    <row r="137" spans="1:32" s="541" customFormat="1" x14ac:dyDescent="0.2">
      <c r="A137" s="646"/>
      <c r="B137" s="339"/>
      <c r="C137" s="339"/>
      <c r="D137" s="340"/>
      <c r="E137" s="340"/>
      <c r="F137" s="365"/>
      <c r="G137" s="609"/>
      <c r="H137" s="609"/>
      <c r="I137" s="609"/>
      <c r="J137" s="609"/>
      <c r="K137" s="609"/>
      <c r="L137" s="609"/>
      <c r="M137" s="609"/>
      <c r="N137" s="609"/>
      <c r="O137" s="609"/>
      <c r="P137" s="609"/>
      <c r="Q137" s="609"/>
      <c r="R137" s="609"/>
      <c r="S137" s="656">
        <f>SUM(G137:R137)</f>
        <v>0</v>
      </c>
      <c r="T137" s="617">
        <f ca="1">U137-$AE$3</f>
        <v>-44382</v>
      </c>
      <c r="U137" s="611"/>
      <c r="V137" s="345"/>
      <c r="W137" s="612"/>
      <c r="X137" s="613"/>
      <c r="Y137" s="613"/>
      <c r="Z137" s="613"/>
      <c r="AA137" s="613"/>
      <c r="AB137" s="613"/>
      <c r="AC137" s="616"/>
      <c r="AD137" s="346"/>
      <c r="AE137" s="618">
        <f ca="1">TODAY()-DATE(YEAR(AD137)+6,MONTH(AD137),DAY(AD137))</f>
        <v>42190</v>
      </c>
      <c r="AF137" s="339"/>
    </row>
    <row r="138" spans="1:32" s="541" customFormat="1" x14ac:dyDescent="0.2">
      <c r="A138" s="646"/>
      <c r="B138" s="339"/>
      <c r="C138" s="339"/>
      <c r="D138" s="340"/>
      <c r="E138" s="340"/>
      <c r="F138" s="365"/>
      <c r="G138" s="609"/>
      <c r="H138" s="609"/>
      <c r="I138" s="609"/>
      <c r="J138" s="609"/>
      <c r="K138" s="609"/>
      <c r="L138" s="609"/>
      <c r="M138" s="609"/>
      <c r="N138" s="609"/>
      <c r="O138" s="609"/>
      <c r="P138" s="609"/>
      <c r="Q138" s="609"/>
      <c r="R138" s="609"/>
      <c r="S138" s="656">
        <f>SUM(G138:R138)</f>
        <v>0</v>
      </c>
      <c r="T138" s="617">
        <f ca="1">U138-$AE$3</f>
        <v>-44382</v>
      </c>
      <c r="U138" s="611"/>
      <c r="V138" s="345"/>
      <c r="W138" s="612"/>
      <c r="X138" s="613"/>
      <c r="Y138" s="613"/>
      <c r="Z138" s="613"/>
      <c r="AA138" s="613"/>
      <c r="AB138" s="613"/>
      <c r="AC138" s="616"/>
      <c r="AD138" s="346"/>
      <c r="AE138" s="618">
        <f ca="1">TODAY()-DATE(YEAR(AD138)+6,MONTH(AD138),DAY(AD138))</f>
        <v>42190</v>
      </c>
      <c r="AF138" s="339"/>
    </row>
    <row r="139" spans="1:32" s="541" customFormat="1" x14ac:dyDescent="0.2">
      <c r="A139" s="646"/>
      <c r="B139" s="339"/>
      <c r="C139" s="339"/>
      <c r="D139" s="340"/>
      <c r="E139" s="340"/>
      <c r="F139" s="365"/>
      <c r="G139" s="609"/>
      <c r="H139" s="609"/>
      <c r="I139" s="609"/>
      <c r="J139" s="609"/>
      <c r="K139" s="609"/>
      <c r="L139" s="609"/>
      <c r="M139" s="609"/>
      <c r="N139" s="609"/>
      <c r="O139" s="609"/>
      <c r="P139" s="609"/>
      <c r="Q139" s="609"/>
      <c r="R139" s="609"/>
      <c r="S139" s="656">
        <f>SUM(G139:R139)</f>
        <v>0</v>
      </c>
      <c r="T139" s="617">
        <f ca="1">U139-$AE$3</f>
        <v>-44382</v>
      </c>
      <c r="U139" s="611"/>
      <c r="V139" s="345"/>
      <c r="W139" s="612"/>
      <c r="X139" s="613"/>
      <c r="Y139" s="613"/>
      <c r="Z139" s="613"/>
      <c r="AA139" s="613"/>
      <c r="AB139" s="613"/>
      <c r="AC139" s="616"/>
      <c r="AD139" s="346"/>
      <c r="AE139" s="618">
        <f ca="1">TODAY()-DATE(YEAR(AD139)+6,MONTH(AD139),DAY(AD139))</f>
        <v>42190</v>
      </c>
      <c r="AF139" s="339"/>
    </row>
    <row r="140" spans="1:32" s="541" customFormat="1" x14ac:dyDescent="0.2">
      <c r="A140" s="646"/>
      <c r="B140" s="339"/>
      <c r="C140" s="339"/>
      <c r="D140" s="340"/>
      <c r="E140" s="340"/>
      <c r="F140" s="365"/>
      <c r="G140" s="609"/>
      <c r="H140" s="609"/>
      <c r="I140" s="609"/>
      <c r="J140" s="609"/>
      <c r="K140" s="609"/>
      <c r="L140" s="609"/>
      <c r="M140" s="609"/>
      <c r="N140" s="609"/>
      <c r="O140" s="609"/>
      <c r="P140" s="609"/>
      <c r="Q140" s="609"/>
      <c r="R140" s="609"/>
      <c r="S140" s="656">
        <f t="shared" si="17"/>
        <v>0</v>
      </c>
      <c r="T140" s="617">
        <f t="shared" ca="1" si="18"/>
        <v>-44382</v>
      </c>
      <c r="U140" s="611"/>
      <c r="V140" s="345"/>
      <c r="W140" s="612"/>
      <c r="X140" s="613"/>
      <c r="Y140" s="613"/>
      <c r="Z140" s="613"/>
      <c r="AA140" s="613"/>
      <c r="AB140" s="613"/>
      <c r="AC140" s="616"/>
      <c r="AD140" s="346"/>
      <c r="AE140" s="618">
        <f t="shared" ca="1" si="19"/>
        <v>42190</v>
      </c>
      <c r="AF140" s="339"/>
    </row>
    <row r="141" spans="1:32" s="541" customFormat="1" x14ac:dyDescent="0.2">
      <c r="A141" s="646"/>
      <c r="B141" s="339"/>
      <c r="C141" s="339"/>
      <c r="D141" s="340"/>
      <c r="E141" s="340"/>
      <c r="F141" s="365"/>
      <c r="G141" s="609"/>
      <c r="H141" s="609"/>
      <c r="I141" s="609"/>
      <c r="J141" s="609"/>
      <c r="K141" s="609"/>
      <c r="L141" s="609"/>
      <c r="M141" s="609"/>
      <c r="N141" s="609"/>
      <c r="O141" s="609"/>
      <c r="P141" s="609"/>
      <c r="Q141" s="609"/>
      <c r="R141" s="609"/>
      <c r="S141" s="656">
        <f t="shared" si="17"/>
        <v>0</v>
      </c>
      <c r="T141" s="617">
        <f t="shared" ca="1" si="18"/>
        <v>-44382</v>
      </c>
      <c r="U141" s="611"/>
      <c r="V141" s="345"/>
      <c r="W141" s="612"/>
      <c r="X141" s="613"/>
      <c r="Y141" s="613"/>
      <c r="Z141" s="613"/>
      <c r="AA141" s="613"/>
      <c r="AB141" s="613"/>
      <c r="AC141" s="616"/>
      <c r="AD141" s="346"/>
      <c r="AE141" s="618">
        <f t="shared" ca="1" si="19"/>
        <v>42190</v>
      </c>
      <c r="AF141" s="339"/>
    </row>
    <row r="142" spans="1:32" s="541" customFormat="1" x14ac:dyDescent="0.2">
      <c r="A142" s="646"/>
      <c r="B142" s="339"/>
      <c r="C142" s="339"/>
      <c r="D142" s="340"/>
      <c r="E142" s="340"/>
      <c r="F142" s="365"/>
      <c r="G142" s="609"/>
      <c r="H142" s="609"/>
      <c r="I142" s="609"/>
      <c r="J142" s="609"/>
      <c r="K142" s="609"/>
      <c r="L142" s="609"/>
      <c r="M142" s="609"/>
      <c r="N142" s="609"/>
      <c r="O142" s="609"/>
      <c r="P142" s="609"/>
      <c r="Q142" s="609"/>
      <c r="R142" s="609"/>
      <c r="S142" s="656">
        <f t="shared" si="17"/>
        <v>0</v>
      </c>
      <c r="T142" s="617">
        <f t="shared" ca="1" si="18"/>
        <v>-44382</v>
      </c>
      <c r="U142" s="611"/>
      <c r="V142" s="345"/>
      <c r="W142" s="612"/>
      <c r="X142" s="613"/>
      <c r="Y142" s="613"/>
      <c r="Z142" s="613"/>
      <c r="AA142" s="613"/>
      <c r="AB142" s="613"/>
      <c r="AC142" s="616"/>
      <c r="AD142" s="346"/>
      <c r="AE142" s="618">
        <f t="shared" ca="1" si="19"/>
        <v>42190</v>
      </c>
      <c r="AF142" s="339"/>
    </row>
    <row r="143" spans="1:32" s="541" customFormat="1" x14ac:dyDescent="0.2">
      <c r="A143" s="646"/>
      <c r="B143" s="339"/>
      <c r="C143" s="339"/>
      <c r="D143" s="340"/>
      <c r="E143" s="340"/>
      <c r="F143" s="365"/>
      <c r="G143" s="609"/>
      <c r="H143" s="609"/>
      <c r="I143" s="609"/>
      <c r="J143" s="609"/>
      <c r="K143" s="609"/>
      <c r="L143" s="609"/>
      <c r="M143" s="609"/>
      <c r="N143" s="609"/>
      <c r="O143" s="609"/>
      <c r="P143" s="609"/>
      <c r="Q143" s="609"/>
      <c r="R143" s="609"/>
      <c r="S143" s="656">
        <f t="shared" si="17"/>
        <v>0</v>
      </c>
      <c r="T143" s="617">
        <f t="shared" ca="1" si="18"/>
        <v>-44382</v>
      </c>
      <c r="U143" s="611"/>
      <c r="V143" s="345"/>
      <c r="W143" s="612"/>
      <c r="X143" s="613"/>
      <c r="Y143" s="613"/>
      <c r="Z143" s="613"/>
      <c r="AA143" s="613"/>
      <c r="AB143" s="613"/>
      <c r="AC143" s="616"/>
      <c r="AD143" s="346"/>
      <c r="AE143" s="618">
        <f t="shared" ca="1" si="19"/>
        <v>42190</v>
      </c>
      <c r="AF143" s="339"/>
    </row>
    <row r="144" spans="1:32" s="541" customFormat="1" x14ac:dyDescent="0.2">
      <c r="A144" s="646"/>
      <c r="B144" s="339"/>
      <c r="C144" s="339"/>
      <c r="D144" s="340"/>
      <c r="E144" s="340"/>
      <c r="F144" s="365"/>
      <c r="G144" s="609"/>
      <c r="H144" s="609"/>
      <c r="I144" s="609"/>
      <c r="J144" s="609"/>
      <c r="K144" s="609"/>
      <c r="L144" s="609"/>
      <c r="M144" s="609"/>
      <c r="N144" s="609"/>
      <c r="O144" s="609"/>
      <c r="P144" s="609"/>
      <c r="Q144" s="609"/>
      <c r="R144" s="609"/>
      <c r="S144" s="656">
        <f t="shared" si="17"/>
        <v>0</v>
      </c>
      <c r="T144" s="617">
        <f t="shared" ca="1" si="18"/>
        <v>-44382</v>
      </c>
      <c r="U144" s="611"/>
      <c r="V144" s="345"/>
      <c r="W144" s="612"/>
      <c r="X144" s="613"/>
      <c r="Y144" s="613"/>
      <c r="Z144" s="613"/>
      <c r="AA144" s="613"/>
      <c r="AB144" s="613"/>
      <c r="AC144" s="616"/>
      <c r="AD144" s="346"/>
      <c r="AE144" s="618">
        <f t="shared" ca="1" si="19"/>
        <v>42190</v>
      </c>
      <c r="AF144" s="339"/>
    </row>
    <row r="145" spans="1:32" s="541" customFormat="1" x14ac:dyDescent="0.2">
      <c r="A145" s="646"/>
      <c r="B145" s="339"/>
      <c r="C145" s="339"/>
      <c r="D145" s="340"/>
      <c r="E145" s="340"/>
      <c r="F145" s="365"/>
      <c r="G145" s="609"/>
      <c r="H145" s="609"/>
      <c r="I145" s="609"/>
      <c r="J145" s="609"/>
      <c r="K145" s="609"/>
      <c r="L145" s="609"/>
      <c r="M145" s="609"/>
      <c r="N145" s="609"/>
      <c r="O145" s="609"/>
      <c r="P145" s="609"/>
      <c r="Q145" s="609"/>
      <c r="R145" s="609"/>
      <c r="S145" s="656">
        <f>SUM(G145:R145)</f>
        <v>0</v>
      </c>
      <c r="T145" s="617">
        <f ca="1">U145-$AE$3</f>
        <v>-44382</v>
      </c>
      <c r="U145" s="611"/>
      <c r="V145" s="345"/>
      <c r="W145" s="612"/>
      <c r="X145" s="613"/>
      <c r="Y145" s="613"/>
      <c r="Z145" s="613"/>
      <c r="AA145" s="613"/>
      <c r="AB145" s="613"/>
      <c r="AC145" s="616"/>
      <c r="AD145" s="346"/>
      <c r="AE145" s="618">
        <f t="shared" ca="1" si="9"/>
        <v>42190</v>
      </c>
      <c r="AF145" s="339"/>
    </row>
    <row r="146" spans="1:32" s="541" customFormat="1" x14ac:dyDescent="0.2">
      <c r="A146" s="646"/>
      <c r="B146" s="339"/>
      <c r="C146" s="339"/>
      <c r="D146" s="340"/>
      <c r="E146" s="340"/>
      <c r="F146" s="365"/>
      <c r="G146" s="609"/>
      <c r="H146" s="609"/>
      <c r="I146" s="609"/>
      <c r="J146" s="609"/>
      <c r="K146" s="609"/>
      <c r="L146" s="609"/>
      <c r="M146" s="609"/>
      <c r="N146" s="609"/>
      <c r="O146" s="609"/>
      <c r="P146" s="609"/>
      <c r="Q146" s="609"/>
      <c r="R146" s="609"/>
      <c r="S146" s="656">
        <f>SUM(G146:R146)</f>
        <v>0</v>
      </c>
      <c r="T146" s="617">
        <f ca="1">U146-$AE$3</f>
        <v>-44382</v>
      </c>
      <c r="U146" s="611"/>
      <c r="V146" s="345"/>
      <c r="W146" s="612"/>
      <c r="X146" s="613"/>
      <c r="Y146" s="613"/>
      <c r="Z146" s="613"/>
      <c r="AA146" s="613"/>
      <c r="AB146" s="613"/>
      <c r="AC146" s="616"/>
      <c r="AD146" s="346"/>
      <c r="AE146" s="618">
        <f t="shared" ca="1" si="9"/>
        <v>42190</v>
      </c>
      <c r="AF146" s="339"/>
    </row>
    <row r="147" spans="1:32" s="541" customFormat="1" x14ac:dyDescent="0.2">
      <c r="A147" s="646"/>
      <c r="B147" s="339"/>
      <c r="C147" s="339"/>
      <c r="D147" s="340"/>
      <c r="E147" s="340"/>
      <c r="F147" s="365"/>
      <c r="G147" s="609"/>
      <c r="H147" s="609"/>
      <c r="I147" s="609"/>
      <c r="J147" s="609"/>
      <c r="K147" s="609"/>
      <c r="L147" s="609"/>
      <c r="M147" s="609"/>
      <c r="N147" s="609"/>
      <c r="O147" s="609"/>
      <c r="P147" s="609"/>
      <c r="Q147" s="609"/>
      <c r="R147" s="609"/>
      <c r="S147" s="656">
        <f>SUM(G147:R147)</f>
        <v>0</v>
      </c>
      <c r="T147" s="617">
        <f ca="1">U147-$AE$3</f>
        <v>-44382</v>
      </c>
      <c r="U147" s="611"/>
      <c r="V147" s="345"/>
      <c r="W147" s="612"/>
      <c r="X147" s="613"/>
      <c r="Y147" s="613"/>
      <c r="Z147" s="613"/>
      <c r="AA147" s="613"/>
      <c r="AB147" s="613"/>
      <c r="AC147" s="616"/>
      <c r="AD147" s="346"/>
      <c r="AE147" s="618">
        <f t="shared" ca="1" si="9"/>
        <v>42190</v>
      </c>
      <c r="AF147" s="339"/>
    </row>
    <row r="151" spans="1:32" x14ac:dyDescent="0.2">
      <c r="D151" s="53" t="s">
        <v>1083</v>
      </c>
      <c r="E151" s="54" t="s">
        <v>1075</v>
      </c>
    </row>
    <row r="152" spans="1:32" x14ac:dyDescent="0.2">
      <c r="D152" s="53" t="s">
        <v>1084</v>
      </c>
      <c r="E152" s="253" t="s">
        <v>1076</v>
      </c>
    </row>
    <row r="153" spans="1:32" x14ac:dyDescent="0.2">
      <c r="D153" s="53" t="s">
        <v>1085</v>
      </c>
      <c r="E153" s="253" t="s">
        <v>1077</v>
      </c>
    </row>
    <row r="154" spans="1:32" x14ac:dyDescent="0.2">
      <c r="D154" s="1" t="s">
        <v>1086</v>
      </c>
      <c r="E154" s="253" t="s">
        <v>1078</v>
      </c>
    </row>
    <row r="155" spans="1:32" x14ac:dyDescent="0.2">
      <c r="D155" s="1" t="s">
        <v>1072</v>
      </c>
      <c r="E155" s="253" t="s">
        <v>1079</v>
      </c>
    </row>
    <row r="156" spans="1:32" x14ac:dyDescent="0.2">
      <c r="D156" s="308" t="s">
        <v>1071</v>
      </c>
      <c r="E156" s="253" t="s">
        <v>1080</v>
      </c>
    </row>
    <row r="157" spans="1:32" x14ac:dyDescent="0.2">
      <c r="D157" s="1" t="s">
        <v>1070</v>
      </c>
      <c r="E157" s="54" t="s">
        <v>1081</v>
      </c>
    </row>
    <row r="158" spans="1:32" x14ac:dyDescent="0.2">
      <c r="E158" s="471" t="s">
        <v>1082</v>
      </c>
    </row>
    <row r="159" spans="1:32" x14ac:dyDescent="0.2">
      <c r="E159" s="253" t="s">
        <v>1100</v>
      </c>
    </row>
  </sheetData>
  <mergeCells count="16">
    <mergeCell ref="V3:W3"/>
    <mergeCell ref="A4:A5"/>
    <mergeCell ref="B4:B5"/>
    <mergeCell ref="C4:C5"/>
    <mergeCell ref="D4:D5"/>
    <mergeCell ref="E4:E5"/>
    <mergeCell ref="F4:F5"/>
    <mergeCell ref="G4:S4"/>
    <mergeCell ref="AD4:AD5"/>
    <mergeCell ref="AF4:AF5"/>
    <mergeCell ref="T4:T5"/>
    <mergeCell ref="U4:U5"/>
    <mergeCell ref="V4:V5"/>
    <mergeCell ref="W4:W5"/>
    <mergeCell ref="X4:AB4"/>
    <mergeCell ref="AC4:AC5"/>
  </mergeCells>
  <pageMargins left="0.511811024" right="0.511811024" top="0.78740157499999996" bottom="0.78740157499999996" header="0.31496062000000002" footer="0.31496062000000002"/>
  <pageSetup paperSize="9" orientation="landscape"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J175"/>
  <sheetViews>
    <sheetView topLeftCell="A37" zoomScale="85" zoomScaleNormal="85" workbookViewId="0">
      <selection activeCell="E44" sqref="E44"/>
    </sheetView>
  </sheetViews>
  <sheetFormatPr defaultRowHeight="12.75" x14ac:dyDescent="0.2"/>
  <cols>
    <col min="1" max="1" width="17.5703125" bestFit="1" customWidth="1"/>
    <col min="2" max="2" width="11.7109375" customWidth="1"/>
    <col min="3" max="3" width="16.85546875" bestFit="1" customWidth="1"/>
    <col min="4" max="4" width="29.140625" customWidth="1"/>
    <col min="5" max="5" width="42.140625" customWidth="1"/>
    <col min="6" max="6" width="18.5703125" bestFit="1" customWidth="1"/>
    <col min="7" max="7" width="14.140625" bestFit="1" customWidth="1"/>
    <col min="8" max="8" width="14.42578125" bestFit="1" customWidth="1"/>
    <col min="9" max="18" width="14.140625" bestFit="1" customWidth="1"/>
    <col min="19" max="19" width="18.7109375" style="655" bestFit="1" customWidth="1"/>
    <col min="20" max="20" width="17.5703125" bestFit="1" customWidth="1"/>
    <col min="21" max="21" width="13.85546875" customWidth="1"/>
    <col min="22" max="22" width="37.140625" customWidth="1"/>
    <col min="23" max="23" width="19.5703125" bestFit="1" customWidth="1"/>
    <col min="24" max="25" width="3.28515625" customWidth="1"/>
    <col min="26" max="26" width="2.85546875" customWidth="1"/>
    <col min="27" max="27" width="4.28515625" customWidth="1"/>
    <col min="28" max="28" width="3.140625" customWidth="1"/>
    <col min="29" max="29" width="10.85546875" customWidth="1"/>
    <col min="30" max="30" width="12.85546875" customWidth="1"/>
    <col min="31" max="31" width="15" bestFit="1" customWidth="1"/>
    <col min="32" max="32" width="9.28515625" customWidth="1"/>
  </cols>
  <sheetData>
    <row r="2" spans="1:36" ht="29.25" customHeight="1" thickBot="1" x14ac:dyDescent="0.25">
      <c r="C2" s="566"/>
      <c r="D2" s="658"/>
      <c r="E2" t="s">
        <v>1498</v>
      </c>
      <c r="T2" s="564"/>
      <c r="U2" s="564"/>
      <c r="V2" s="564"/>
      <c r="AE2" s="489" t="s">
        <v>0</v>
      </c>
    </row>
    <row r="3" spans="1:36" ht="21" thickBot="1" x14ac:dyDescent="0.35">
      <c r="C3" s="677"/>
      <c r="D3" s="678" t="s">
        <v>1390</v>
      </c>
      <c r="E3" t="s">
        <v>1499</v>
      </c>
      <c r="T3" s="608"/>
      <c r="U3" s="608"/>
      <c r="V3" s="1011" t="s">
        <v>1588</v>
      </c>
      <c r="W3" s="1011"/>
      <c r="AE3" s="490">
        <f ca="1">TODAY()</f>
        <v>44382</v>
      </c>
    </row>
    <row r="4" spans="1:36" ht="14.25" customHeight="1" x14ac:dyDescent="0.2">
      <c r="A4" s="1012" t="s">
        <v>2</v>
      </c>
      <c r="B4" s="1006" t="s">
        <v>3</v>
      </c>
      <c r="C4" s="1006" t="s">
        <v>4</v>
      </c>
      <c r="D4" s="1006" t="s">
        <v>5</v>
      </c>
      <c r="E4" s="1006" t="s">
        <v>6</v>
      </c>
      <c r="F4" s="1006" t="s">
        <v>7</v>
      </c>
      <c r="G4" s="1014" t="s">
        <v>1835</v>
      </c>
      <c r="H4" s="1014"/>
      <c r="I4" s="1014"/>
      <c r="J4" s="1014"/>
      <c r="K4" s="1014"/>
      <c r="L4" s="1014"/>
      <c r="M4" s="1014"/>
      <c r="N4" s="1014"/>
      <c r="O4" s="1014"/>
      <c r="P4" s="1014"/>
      <c r="Q4" s="1014"/>
      <c r="R4" s="1014"/>
      <c r="S4" s="1014"/>
      <c r="T4" s="1006" t="s">
        <v>241</v>
      </c>
      <c r="U4" s="1008" t="s">
        <v>8</v>
      </c>
      <c r="V4" s="1006" t="s">
        <v>9</v>
      </c>
      <c r="W4" s="1006" t="s">
        <v>10</v>
      </c>
      <c r="X4" s="1010" t="s">
        <v>11</v>
      </c>
      <c r="Y4" s="1010"/>
      <c r="Z4" s="1010"/>
      <c r="AA4" s="1010"/>
      <c r="AB4" s="1010"/>
      <c r="AC4" s="1008" t="s">
        <v>1421</v>
      </c>
      <c r="AD4" s="1002" t="s">
        <v>243</v>
      </c>
      <c r="AE4" s="620" t="s">
        <v>820</v>
      </c>
      <c r="AF4" s="1004" t="s">
        <v>15</v>
      </c>
    </row>
    <row r="5" spans="1:36" ht="39.75" customHeight="1" thickBot="1" x14ac:dyDescent="0.25">
      <c r="A5" s="1013"/>
      <c r="B5" s="1007"/>
      <c r="C5" s="1007"/>
      <c r="D5" s="1007"/>
      <c r="E5" s="1007"/>
      <c r="F5" s="1007"/>
      <c r="G5" s="621" t="s">
        <v>822</v>
      </c>
      <c r="H5" s="621" t="s">
        <v>823</v>
      </c>
      <c r="I5" s="621" t="s">
        <v>824</v>
      </c>
      <c r="J5" s="621" t="s">
        <v>825</v>
      </c>
      <c r="K5" s="621" t="s">
        <v>826</v>
      </c>
      <c r="L5" s="621" t="s">
        <v>827</v>
      </c>
      <c r="M5" s="621" t="s">
        <v>828</v>
      </c>
      <c r="N5" s="621" t="s">
        <v>829</v>
      </c>
      <c r="O5" s="621" t="s">
        <v>830</v>
      </c>
      <c r="P5" s="621" t="s">
        <v>831</v>
      </c>
      <c r="Q5" s="621" t="s">
        <v>832</v>
      </c>
      <c r="R5" s="621" t="s">
        <v>833</v>
      </c>
      <c r="S5" s="621" t="s">
        <v>1767</v>
      </c>
      <c r="T5" s="1007"/>
      <c r="U5" s="1009"/>
      <c r="V5" s="1007"/>
      <c r="W5" s="1007"/>
      <c r="X5" s="622" t="s">
        <v>16</v>
      </c>
      <c r="Y5" s="622" t="s">
        <v>17</v>
      </c>
      <c r="Z5" s="622" t="s">
        <v>18</v>
      </c>
      <c r="AA5" s="622" t="s">
        <v>19</v>
      </c>
      <c r="AB5" s="622" t="s">
        <v>20</v>
      </c>
      <c r="AC5" s="1009"/>
      <c r="AD5" s="1003"/>
      <c r="AE5" s="623" t="s">
        <v>244</v>
      </c>
      <c r="AF5" s="1005"/>
    </row>
    <row r="6" spans="1:36" s="671" customFormat="1" ht="25.5" x14ac:dyDescent="0.2">
      <c r="A6" s="686" t="s">
        <v>1288</v>
      </c>
      <c r="B6" s="687" t="s">
        <v>1289</v>
      </c>
      <c r="C6" s="687" t="s">
        <v>1302</v>
      </c>
      <c r="D6" s="688" t="s">
        <v>1291</v>
      </c>
      <c r="E6" s="688" t="s">
        <v>1292</v>
      </c>
      <c r="F6" s="689">
        <v>146940.12</v>
      </c>
      <c r="G6" s="673">
        <v>10840.83</v>
      </c>
      <c r="H6" s="673">
        <v>10840.83</v>
      </c>
      <c r="I6" s="673">
        <v>10840.83</v>
      </c>
      <c r="J6" s="673">
        <v>10840.83</v>
      </c>
      <c r="K6" s="673">
        <f>10840.83+5339.68+571.76</f>
        <v>16752.27</v>
      </c>
      <c r="L6" s="673">
        <v>12175.75</v>
      </c>
      <c r="M6" s="673">
        <v>12175.75</v>
      </c>
      <c r="N6" s="673">
        <v>12175.75</v>
      </c>
      <c r="O6" s="673">
        <v>12175.75</v>
      </c>
      <c r="P6" s="673">
        <v>0</v>
      </c>
      <c r="Q6" s="673">
        <f>12175.75+12175.75</f>
        <v>24351.5</v>
      </c>
      <c r="R6" s="673">
        <v>12245.01</v>
      </c>
      <c r="S6" s="690">
        <f>SUM(G6:R6)</f>
        <v>145415.1</v>
      </c>
      <c r="T6" s="691">
        <f t="shared" ref="T6:T15" ca="1" si="0">U6-$AE$3</f>
        <v>-1403</v>
      </c>
      <c r="U6" s="692">
        <v>42979</v>
      </c>
      <c r="V6" s="693" t="s">
        <v>1934</v>
      </c>
      <c r="W6" s="694" t="s">
        <v>1301</v>
      </c>
      <c r="X6" s="695"/>
      <c r="Y6" s="695"/>
      <c r="Z6" s="695"/>
      <c r="AA6" s="695"/>
      <c r="AB6" s="695"/>
      <c r="AC6" s="696">
        <v>42557</v>
      </c>
      <c r="AD6" s="697">
        <v>41519</v>
      </c>
      <c r="AE6" s="698">
        <f t="shared" ref="AE6:AE14" ca="1" si="1">TODAY()-DATE(YEAR(AD6)+6,MONTH(AD6),DAY(AD6))</f>
        <v>672</v>
      </c>
      <c r="AF6" s="687" t="s">
        <v>48</v>
      </c>
    </row>
    <row r="7" spans="1:36" s="311" customFormat="1" ht="25.5" x14ac:dyDescent="0.2">
      <c r="A7" s="675" t="s">
        <v>711</v>
      </c>
      <c r="B7" s="339" t="s">
        <v>23</v>
      </c>
      <c r="C7" s="339" t="s">
        <v>61</v>
      </c>
      <c r="D7" s="340" t="s">
        <v>1580</v>
      </c>
      <c r="E7" s="340" t="s">
        <v>712</v>
      </c>
      <c r="F7" s="365" t="s">
        <v>713</v>
      </c>
      <c r="G7" s="673">
        <v>107</v>
      </c>
      <c r="H7" s="673">
        <v>2073</v>
      </c>
      <c r="I7" s="673">
        <f>472+9687</f>
        <v>10159</v>
      </c>
      <c r="J7" s="673">
        <v>12714.5</v>
      </c>
      <c r="K7" s="673">
        <v>41636</v>
      </c>
      <c r="L7" s="673">
        <v>211.5</v>
      </c>
      <c r="M7" s="673">
        <v>1262.5</v>
      </c>
      <c r="N7" s="673">
        <v>334</v>
      </c>
      <c r="O7" s="673">
        <v>1150.5</v>
      </c>
      <c r="P7" s="673">
        <v>369.5</v>
      </c>
      <c r="Q7" s="673">
        <v>0</v>
      </c>
      <c r="R7" s="673">
        <v>0</v>
      </c>
      <c r="S7" s="656">
        <f t="shared" ref="S7:S61" si="2">SUM(G7:R7)</f>
        <v>70017.5</v>
      </c>
      <c r="T7" s="610">
        <f t="shared" ca="1" si="0"/>
        <v>-1717</v>
      </c>
      <c r="U7" s="611">
        <v>42665</v>
      </c>
      <c r="V7" s="615" t="s">
        <v>1785</v>
      </c>
      <c r="W7" s="612" t="s">
        <v>749</v>
      </c>
      <c r="X7" s="613"/>
      <c r="Y7" s="613"/>
      <c r="Z7" s="613"/>
      <c r="AA7" s="613"/>
      <c r="AB7" s="613"/>
      <c r="AC7" s="616">
        <v>42545</v>
      </c>
      <c r="AD7" s="346">
        <v>40473</v>
      </c>
      <c r="AE7" s="614">
        <f t="shared" ca="1" si="1"/>
        <v>1717</v>
      </c>
      <c r="AF7" s="339" t="s">
        <v>48</v>
      </c>
    </row>
    <row r="8" spans="1:36" s="311" customFormat="1" ht="39" customHeight="1" x14ac:dyDescent="0.2">
      <c r="A8" s="339" t="s">
        <v>658</v>
      </c>
      <c r="B8" s="339" t="s">
        <v>1345</v>
      </c>
      <c r="C8" s="339" t="s">
        <v>56</v>
      </c>
      <c r="D8" s="340" t="s">
        <v>171</v>
      </c>
      <c r="E8" s="340" t="s">
        <v>1473</v>
      </c>
      <c r="F8" s="365" t="s">
        <v>659</v>
      </c>
      <c r="G8" s="699">
        <v>606.1</v>
      </c>
      <c r="H8" s="1015" t="s">
        <v>1911</v>
      </c>
      <c r="I8" s="1016"/>
      <c r="J8" s="1016"/>
      <c r="K8" s="1016"/>
      <c r="L8" s="1016"/>
      <c r="M8" s="1016"/>
      <c r="N8" s="1016"/>
      <c r="O8" s="1016"/>
      <c r="P8" s="1016"/>
      <c r="Q8" s="1016"/>
      <c r="R8" s="1017"/>
      <c r="S8" s="656">
        <f t="shared" si="2"/>
        <v>606.1</v>
      </c>
      <c r="T8" s="610">
        <f t="shared" ca="1" si="0"/>
        <v>-2009</v>
      </c>
      <c r="U8" s="611">
        <v>42373</v>
      </c>
      <c r="V8" s="345" t="s">
        <v>1966</v>
      </c>
      <c r="W8" s="612" t="s">
        <v>753</v>
      </c>
      <c r="X8" s="613"/>
      <c r="Y8" s="613"/>
      <c r="Z8" s="613"/>
      <c r="AA8" s="613"/>
      <c r="AB8" s="613"/>
      <c r="AC8" s="642">
        <v>42317</v>
      </c>
      <c r="AD8" s="346">
        <v>40182</v>
      </c>
      <c r="AE8" s="614">
        <f t="shared" ca="1" si="1"/>
        <v>2009</v>
      </c>
      <c r="AF8" s="339" t="s">
        <v>54</v>
      </c>
    </row>
    <row r="9" spans="1:36" s="311" customFormat="1" ht="25.5" x14ac:dyDescent="0.2">
      <c r="A9" s="675" t="s">
        <v>955</v>
      </c>
      <c r="B9" s="339" t="s">
        <v>773</v>
      </c>
      <c r="C9" s="339" t="s">
        <v>772</v>
      </c>
      <c r="D9" s="340" t="s">
        <v>1267</v>
      </c>
      <c r="E9" s="340" t="s">
        <v>1494</v>
      </c>
      <c r="F9" s="365">
        <v>197431.09</v>
      </c>
      <c r="G9" s="673">
        <v>7368.75</v>
      </c>
      <c r="H9" s="673">
        <v>9724.85</v>
      </c>
      <c r="I9" s="673">
        <v>8208.08</v>
      </c>
      <c r="J9" s="673">
        <v>8419.83</v>
      </c>
      <c r="K9" s="673">
        <v>10181.040000000001</v>
      </c>
      <c r="L9" s="673">
        <v>8801.48</v>
      </c>
      <c r="M9" s="673">
        <v>11088.5</v>
      </c>
      <c r="N9" s="673">
        <v>8522.98</v>
      </c>
      <c r="O9" s="673">
        <v>9357.52</v>
      </c>
      <c r="P9" s="673">
        <v>8345.15</v>
      </c>
      <c r="Q9" s="673">
        <v>6225.42</v>
      </c>
      <c r="R9" s="673">
        <v>7098.21</v>
      </c>
      <c r="S9" s="656">
        <f t="shared" si="2"/>
        <v>103341.81</v>
      </c>
      <c r="T9" s="610">
        <f t="shared" ca="1" si="0"/>
        <v>-1604</v>
      </c>
      <c r="U9" s="611">
        <v>42778</v>
      </c>
      <c r="V9" s="615" t="s">
        <v>1872</v>
      </c>
      <c r="W9" s="612" t="s">
        <v>1087</v>
      </c>
      <c r="X9" s="613"/>
      <c r="Y9" s="613"/>
      <c r="Z9" s="613"/>
      <c r="AA9" s="613"/>
      <c r="AB9" s="613"/>
      <c r="AC9" s="616">
        <v>42660</v>
      </c>
      <c r="AD9" s="346">
        <v>40952</v>
      </c>
      <c r="AE9" s="614">
        <f t="shared" ca="1" si="1"/>
        <v>1238</v>
      </c>
      <c r="AF9" s="339" t="s">
        <v>48</v>
      </c>
    </row>
    <row r="10" spans="1:36" s="311" customFormat="1" ht="51" x14ac:dyDescent="0.2">
      <c r="A10" s="641" t="s">
        <v>960</v>
      </c>
      <c r="B10" s="339" t="s">
        <v>1330</v>
      </c>
      <c r="C10" s="339" t="s">
        <v>24</v>
      </c>
      <c r="D10" s="643" t="s">
        <v>961</v>
      </c>
      <c r="E10" s="643" t="s">
        <v>962</v>
      </c>
      <c r="F10" s="365">
        <v>195892.8</v>
      </c>
      <c r="G10" s="673">
        <v>14572.8</v>
      </c>
      <c r="H10" s="673">
        <v>20057.400000000001</v>
      </c>
      <c r="I10" s="673">
        <v>16916.400000000001</v>
      </c>
      <c r="J10" s="673">
        <v>16798</v>
      </c>
      <c r="K10" s="673">
        <v>18440.8</v>
      </c>
      <c r="L10" s="673">
        <v>15266.2</v>
      </c>
      <c r="M10" s="673">
        <v>18670.2</v>
      </c>
      <c r="N10" s="673">
        <v>12617</v>
      </c>
      <c r="O10" s="673">
        <v>14689</v>
      </c>
      <c r="P10" s="673">
        <v>13697.4</v>
      </c>
      <c r="Q10" s="673">
        <v>15347.6</v>
      </c>
      <c r="R10" s="673">
        <v>14400.4</v>
      </c>
      <c r="S10" s="656">
        <f t="shared" si="2"/>
        <v>191473.19999999998</v>
      </c>
      <c r="T10" s="610">
        <f t="shared" ca="1" si="0"/>
        <v>-1593</v>
      </c>
      <c r="U10" s="611">
        <v>42789</v>
      </c>
      <c r="V10" s="644" t="s">
        <v>1965</v>
      </c>
      <c r="W10" s="645" t="s">
        <v>977</v>
      </c>
      <c r="X10" s="613"/>
      <c r="Y10" s="613"/>
      <c r="Z10" s="613"/>
      <c r="AA10" s="613"/>
      <c r="AB10" s="613"/>
      <c r="AC10" s="642"/>
      <c r="AD10" s="346">
        <v>40963</v>
      </c>
      <c r="AE10" s="614">
        <f t="shared" ca="1" si="1"/>
        <v>1227</v>
      </c>
      <c r="AF10" s="339" t="s">
        <v>96</v>
      </c>
    </row>
    <row r="11" spans="1:36" s="311" customFormat="1" ht="38.25" x14ac:dyDescent="0.2">
      <c r="A11" s="675" t="s">
        <v>817</v>
      </c>
      <c r="B11" s="339" t="s">
        <v>1347</v>
      </c>
      <c r="C11" s="339" t="s">
        <v>56</v>
      </c>
      <c r="D11" s="340" t="s">
        <v>198</v>
      </c>
      <c r="E11" s="340" t="s">
        <v>1210</v>
      </c>
      <c r="F11" s="365">
        <v>2543.2399999999998</v>
      </c>
      <c r="G11" s="673">
        <v>267.13</v>
      </c>
      <c r="H11" s="673">
        <v>267.13</v>
      </c>
      <c r="I11" s="673">
        <v>267.13</v>
      </c>
      <c r="J11" s="673">
        <v>295.27</v>
      </c>
      <c r="K11" s="673">
        <v>295.27</v>
      </c>
      <c r="L11" s="673">
        <v>295.27</v>
      </c>
      <c r="M11" s="673">
        <v>295.27</v>
      </c>
      <c r="N11" s="673">
        <v>295.27</v>
      </c>
      <c r="O11" s="673">
        <v>295.27</v>
      </c>
      <c r="P11" s="673">
        <v>295.27</v>
      </c>
      <c r="Q11" s="673">
        <v>295.27</v>
      </c>
      <c r="R11" s="673">
        <v>295.27</v>
      </c>
      <c r="S11" s="656">
        <f t="shared" si="2"/>
        <v>3458.8199999999997</v>
      </c>
      <c r="T11" s="610">
        <f t="shared" ca="1" si="0"/>
        <v>-1588</v>
      </c>
      <c r="U11" s="611">
        <v>42794</v>
      </c>
      <c r="V11" s="345" t="s">
        <v>1967</v>
      </c>
      <c r="W11" s="612" t="s">
        <v>735</v>
      </c>
      <c r="X11" s="613"/>
      <c r="Y11" s="613"/>
      <c r="Z11" s="613"/>
      <c r="AA11" s="613"/>
      <c r="AB11" s="613"/>
      <c r="AC11" s="616"/>
      <c r="AD11" s="346">
        <v>40603</v>
      </c>
      <c r="AE11" s="614">
        <f t="shared" ca="1" si="1"/>
        <v>1587</v>
      </c>
      <c r="AF11" s="339" t="s">
        <v>1348</v>
      </c>
    </row>
    <row r="12" spans="1:36" s="671" customFormat="1" ht="25.5" x14ac:dyDescent="0.2">
      <c r="A12" s="639" t="s">
        <v>353</v>
      </c>
      <c r="B12" s="639" t="s">
        <v>23</v>
      </c>
      <c r="C12" s="639" t="s">
        <v>24</v>
      </c>
      <c r="D12" s="661" t="s">
        <v>260</v>
      </c>
      <c r="E12" s="661" t="s">
        <v>26</v>
      </c>
      <c r="F12" s="684" t="s">
        <v>1069</v>
      </c>
      <c r="G12" s="673">
        <v>0</v>
      </c>
      <c r="H12" s="673">
        <f>8018.9+7753.25+6494.3</f>
        <v>22266.45</v>
      </c>
      <c r="I12" s="673">
        <v>650</v>
      </c>
      <c r="J12" s="673">
        <v>650</v>
      </c>
      <c r="K12" s="673">
        <v>650</v>
      </c>
      <c r="L12" s="673">
        <v>650</v>
      </c>
      <c r="M12" s="673">
        <v>650</v>
      </c>
      <c r="N12" s="673">
        <v>650</v>
      </c>
      <c r="O12" s="673">
        <v>650</v>
      </c>
      <c r="P12" s="673">
        <v>0</v>
      </c>
      <c r="Q12" s="673">
        <v>0</v>
      </c>
      <c r="R12" s="673">
        <v>0</v>
      </c>
      <c r="S12" s="704">
        <f t="shared" si="2"/>
        <v>26816.45</v>
      </c>
      <c r="T12" s="701">
        <f t="shared" ca="1" si="0"/>
        <v>-2981</v>
      </c>
      <c r="U12" s="664">
        <v>41401</v>
      </c>
      <c r="V12" s="703" t="s">
        <v>355</v>
      </c>
      <c r="W12" s="703" t="s">
        <v>841</v>
      </c>
      <c r="X12" s="667"/>
      <c r="Y12" s="667"/>
      <c r="Z12" s="667"/>
      <c r="AA12" s="667"/>
      <c r="AB12" s="667"/>
      <c r="AC12" s="668">
        <v>41341</v>
      </c>
      <c r="AD12" s="669">
        <v>39576</v>
      </c>
      <c r="AE12" s="670">
        <f t="shared" ca="1" si="1"/>
        <v>2615</v>
      </c>
      <c r="AF12" s="639" t="s">
        <v>29</v>
      </c>
    </row>
    <row r="13" spans="1:36" s="671" customFormat="1" ht="38.25" x14ac:dyDescent="0.2">
      <c r="A13" s="639" t="s">
        <v>23</v>
      </c>
      <c r="B13" s="660" t="s">
        <v>23</v>
      </c>
      <c r="C13" s="639" t="s">
        <v>24</v>
      </c>
      <c r="D13" s="661" t="s">
        <v>303</v>
      </c>
      <c r="E13" s="661" t="s">
        <v>971</v>
      </c>
      <c r="F13" s="684" t="s">
        <v>972</v>
      </c>
      <c r="G13" s="673">
        <v>0</v>
      </c>
      <c r="H13" s="673">
        <v>0</v>
      </c>
      <c r="I13" s="673">
        <v>0</v>
      </c>
      <c r="J13" s="673">
        <v>0</v>
      </c>
      <c r="K13" s="673">
        <v>0</v>
      </c>
      <c r="L13" s="673">
        <v>0</v>
      </c>
      <c r="M13" s="673">
        <v>0</v>
      </c>
      <c r="N13" s="673">
        <v>0</v>
      </c>
      <c r="O13" s="673">
        <v>0</v>
      </c>
      <c r="P13" s="673">
        <v>0</v>
      </c>
      <c r="Q13" s="673">
        <v>0</v>
      </c>
      <c r="R13" s="673">
        <v>0</v>
      </c>
      <c r="S13" s="704">
        <f t="shared" si="2"/>
        <v>0</v>
      </c>
      <c r="T13" s="701"/>
      <c r="U13" s="664" t="s">
        <v>233</v>
      </c>
      <c r="V13" s="665" t="s">
        <v>970</v>
      </c>
      <c r="W13" s="666" t="s">
        <v>727</v>
      </c>
      <c r="X13" s="667"/>
      <c r="Y13" s="667"/>
      <c r="Z13" s="667"/>
      <c r="AA13" s="667"/>
      <c r="AB13" s="667"/>
      <c r="AC13" s="668"/>
      <c r="AD13" s="669">
        <v>41954</v>
      </c>
      <c r="AE13" s="670">
        <f t="shared" ca="1" si="1"/>
        <v>236</v>
      </c>
      <c r="AF13" s="639" t="s">
        <v>1788</v>
      </c>
      <c r="AG13" s="311"/>
      <c r="AH13" s="311"/>
      <c r="AI13" s="311"/>
      <c r="AJ13" s="311"/>
    </row>
    <row r="14" spans="1:36" s="311" customFormat="1" ht="38.25" x14ac:dyDescent="0.2">
      <c r="A14" s="675" t="s">
        <v>855</v>
      </c>
      <c r="B14" s="339" t="s">
        <v>667</v>
      </c>
      <c r="C14" s="339" t="s">
        <v>772</v>
      </c>
      <c r="D14" s="340" t="s">
        <v>1579</v>
      </c>
      <c r="E14" s="340" t="s">
        <v>1886</v>
      </c>
      <c r="F14" s="365" t="s">
        <v>1887</v>
      </c>
      <c r="G14" s="673">
        <f>574.5+1284.69</f>
        <v>1859.19</v>
      </c>
      <c r="H14" s="673">
        <f>574.5+1016.49</f>
        <v>1590.99</v>
      </c>
      <c r="I14" s="673">
        <f>574.5+1030.44</f>
        <v>1604.94</v>
      </c>
      <c r="J14" s="673">
        <f>574.5+1302.4</f>
        <v>1876.9</v>
      </c>
      <c r="K14" s="673">
        <f>220.39+1194.23+574.5</f>
        <v>1989.12</v>
      </c>
      <c r="L14" s="673">
        <f>228.9+574.5+874.71</f>
        <v>1678.1100000000001</v>
      </c>
      <c r="M14" s="673">
        <f>634.6+988.63</f>
        <v>1623.23</v>
      </c>
      <c r="N14" s="673">
        <v>1918.6399999999999</v>
      </c>
      <c r="O14" s="673">
        <v>1851.54</v>
      </c>
      <c r="P14" s="673">
        <f>1528.02+196.83</f>
        <v>1724.85</v>
      </c>
      <c r="Q14" s="673">
        <v>1852.88</v>
      </c>
      <c r="R14" s="673">
        <f>2009.43+118.71</f>
        <v>2128.14</v>
      </c>
      <c r="S14" s="656">
        <f t="shared" si="2"/>
        <v>21698.53</v>
      </c>
      <c r="T14" s="610">
        <f t="shared" ca="1" si="0"/>
        <v>-1490</v>
      </c>
      <c r="U14" s="611">
        <v>42892</v>
      </c>
      <c r="V14" s="345" t="s">
        <v>1890</v>
      </c>
      <c r="W14" s="612" t="s">
        <v>861</v>
      </c>
      <c r="X14" s="613"/>
      <c r="Y14" s="613"/>
      <c r="Z14" s="613"/>
      <c r="AA14" s="613"/>
      <c r="AB14" s="613"/>
      <c r="AC14" s="616"/>
      <c r="AD14" s="346">
        <v>40701</v>
      </c>
      <c r="AE14" s="614">
        <f t="shared" ca="1" si="1"/>
        <v>1489</v>
      </c>
      <c r="AF14" s="339" t="s">
        <v>48</v>
      </c>
    </row>
    <row r="15" spans="1:36" s="311" customFormat="1" ht="30" customHeight="1" x14ac:dyDescent="0.2">
      <c r="A15" s="674" t="s">
        <v>1089</v>
      </c>
      <c r="B15" s="339" t="s">
        <v>23</v>
      </c>
      <c r="C15" s="339" t="s">
        <v>372</v>
      </c>
      <c r="D15" s="643" t="s">
        <v>1090</v>
      </c>
      <c r="E15" s="643" t="s">
        <v>1091</v>
      </c>
      <c r="F15" s="365">
        <v>0</v>
      </c>
      <c r="G15" s="673">
        <v>0</v>
      </c>
      <c r="H15" s="673">
        <v>0</v>
      </c>
      <c r="I15" s="673">
        <v>0</v>
      </c>
      <c r="J15" s="673">
        <v>0</v>
      </c>
      <c r="K15" s="673">
        <v>0</v>
      </c>
      <c r="L15" s="673">
        <v>0</v>
      </c>
      <c r="M15" s="673">
        <v>0</v>
      </c>
      <c r="N15" s="673">
        <v>0</v>
      </c>
      <c r="O15" s="673">
        <v>0</v>
      </c>
      <c r="P15" s="673">
        <v>0</v>
      </c>
      <c r="Q15" s="673">
        <v>0</v>
      </c>
      <c r="R15" s="673">
        <v>0</v>
      </c>
      <c r="S15" s="656">
        <f t="shared" si="2"/>
        <v>0</v>
      </c>
      <c r="T15" s="610">
        <f t="shared" ca="1" si="0"/>
        <v>-1521</v>
      </c>
      <c r="U15" s="611">
        <v>42861</v>
      </c>
      <c r="V15" s="615" t="s">
        <v>1092</v>
      </c>
      <c r="W15" s="612" t="s">
        <v>1093</v>
      </c>
      <c r="X15" s="613"/>
      <c r="Y15" s="613"/>
      <c r="Z15" s="613"/>
      <c r="AA15" s="613"/>
      <c r="AB15" s="613"/>
      <c r="AC15" s="616"/>
      <c r="AD15" s="346">
        <v>41036</v>
      </c>
      <c r="AE15" s="614">
        <f ca="1">TODAY()-DATE(YEAR(AD15)+5,MONTH(AD15),DAY(AD15))</f>
        <v>1520</v>
      </c>
      <c r="AF15" s="339" t="s">
        <v>96</v>
      </c>
    </row>
    <row r="16" spans="1:36" s="311" customFormat="1" ht="30" customHeight="1" x14ac:dyDescent="0.2">
      <c r="A16" s="674" t="s">
        <v>1065</v>
      </c>
      <c r="B16" s="339" t="s">
        <v>23</v>
      </c>
      <c r="C16" s="339" t="s">
        <v>56</v>
      </c>
      <c r="D16" s="643" t="s">
        <v>1066</v>
      </c>
      <c r="E16" s="643" t="s">
        <v>1067</v>
      </c>
      <c r="F16" s="365" t="s">
        <v>1074</v>
      </c>
      <c r="G16" s="673">
        <v>0</v>
      </c>
      <c r="H16" s="673">
        <v>0</v>
      </c>
      <c r="I16" s="673">
        <v>0</v>
      </c>
      <c r="J16" s="673">
        <v>0</v>
      </c>
      <c r="K16" s="673">
        <v>0</v>
      </c>
      <c r="L16" s="673">
        <v>0</v>
      </c>
      <c r="M16" s="673">
        <v>0</v>
      </c>
      <c r="N16" s="673">
        <v>0</v>
      </c>
      <c r="O16" s="673">
        <v>0</v>
      </c>
      <c r="P16" s="673">
        <v>0</v>
      </c>
      <c r="Q16" s="673">
        <v>0</v>
      </c>
      <c r="R16" s="673">
        <v>0</v>
      </c>
      <c r="S16" s="656">
        <f t="shared" si="2"/>
        <v>0</v>
      </c>
      <c r="T16" s="680"/>
      <c r="U16" s="611" t="s">
        <v>233</v>
      </c>
      <c r="V16" s="615" t="s">
        <v>1068</v>
      </c>
      <c r="W16" s="612" t="s">
        <v>1088</v>
      </c>
      <c r="X16" s="613"/>
      <c r="Y16" s="613"/>
      <c r="Z16" s="613"/>
      <c r="AA16" s="613"/>
      <c r="AB16" s="613"/>
      <c r="AC16" s="616"/>
      <c r="AD16" s="346">
        <v>40998</v>
      </c>
      <c r="AE16" s="614">
        <f t="shared" ref="AE16:AE28" ca="1" si="3">TODAY()-DATE(YEAR(AD16)+5,MONTH(AD16),DAY(AD16))</f>
        <v>1558</v>
      </c>
      <c r="AF16" s="339" t="s">
        <v>41</v>
      </c>
    </row>
    <row r="17" spans="1:33" s="311" customFormat="1" ht="38.25" customHeight="1" x14ac:dyDescent="0.2">
      <c r="A17" s="641" t="s">
        <v>23</v>
      </c>
      <c r="B17" s="646" t="s">
        <v>23</v>
      </c>
      <c r="C17" s="339" t="s">
        <v>372</v>
      </c>
      <c r="D17" s="340" t="s">
        <v>1022</v>
      </c>
      <c r="E17" s="643" t="s">
        <v>968</v>
      </c>
      <c r="F17" s="365" t="s">
        <v>972</v>
      </c>
      <c r="G17" s="673">
        <v>0</v>
      </c>
      <c r="H17" s="673">
        <v>0</v>
      </c>
      <c r="I17" s="673">
        <v>0</v>
      </c>
      <c r="J17" s="673">
        <v>0</v>
      </c>
      <c r="K17" s="673">
        <v>0</v>
      </c>
      <c r="L17" s="673">
        <v>0</v>
      </c>
      <c r="M17" s="673">
        <v>0</v>
      </c>
      <c r="N17" s="673">
        <v>0</v>
      </c>
      <c r="O17" s="673">
        <v>0</v>
      </c>
      <c r="P17" s="673">
        <v>0</v>
      </c>
      <c r="Q17" s="673">
        <v>0</v>
      </c>
      <c r="R17" s="673">
        <v>0</v>
      </c>
      <c r="S17" s="656">
        <f t="shared" si="2"/>
        <v>0</v>
      </c>
      <c r="T17" s="680"/>
      <c r="U17" s="611" t="s">
        <v>233</v>
      </c>
      <c r="V17" s="615" t="s">
        <v>969</v>
      </c>
      <c r="W17" s="647" t="s">
        <v>1014</v>
      </c>
      <c r="X17" s="613"/>
      <c r="Y17" s="613"/>
      <c r="Z17" s="613"/>
      <c r="AA17" s="613"/>
      <c r="AB17" s="613"/>
      <c r="AC17" s="616"/>
      <c r="AD17" s="346">
        <v>36819</v>
      </c>
      <c r="AE17" s="614">
        <f t="shared" ca="1" si="3"/>
        <v>5737</v>
      </c>
      <c r="AF17" s="641" t="s">
        <v>54</v>
      </c>
    </row>
    <row r="18" spans="1:33" s="707" customFormat="1" ht="38.25" x14ac:dyDescent="0.2">
      <c r="A18" s="639" t="s">
        <v>790</v>
      </c>
      <c r="B18" s="660" t="s">
        <v>667</v>
      </c>
      <c r="C18" s="639" t="s">
        <v>130</v>
      </c>
      <c r="D18" s="661" t="s">
        <v>1113</v>
      </c>
      <c r="E18" s="661" t="s">
        <v>1532</v>
      </c>
      <c r="F18" s="706">
        <v>0</v>
      </c>
      <c r="G18" s="702">
        <v>0</v>
      </c>
      <c r="H18" s="702">
        <v>0</v>
      </c>
      <c r="I18" s="702">
        <v>0</v>
      </c>
      <c r="J18" s="702">
        <v>0</v>
      </c>
      <c r="K18" s="702">
        <v>0</v>
      </c>
      <c r="L18" s="702">
        <v>0</v>
      </c>
      <c r="M18" s="702">
        <v>0</v>
      </c>
      <c r="N18" s="702">
        <v>0</v>
      </c>
      <c r="O18" s="702">
        <v>0</v>
      </c>
      <c r="P18" s="702">
        <v>0</v>
      </c>
      <c r="Q18" s="702">
        <v>0</v>
      </c>
      <c r="R18" s="702">
        <v>0</v>
      </c>
      <c r="S18" s="663">
        <f t="shared" si="2"/>
        <v>0</v>
      </c>
      <c r="T18" s="701">
        <f t="shared" ref="T18:T35" ca="1" si="4">U18-$AE$3</f>
        <v>-2592</v>
      </c>
      <c r="U18" s="664">
        <v>41790</v>
      </c>
      <c r="V18" s="665" t="s">
        <v>1254</v>
      </c>
      <c r="W18" s="703" t="s">
        <v>1371</v>
      </c>
      <c r="X18" s="708"/>
      <c r="Y18" s="708"/>
      <c r="Z18" s="708"/>
      <c r="AA18" s="708"/>
      <c r="AB18" s="708"/>
      <c r="AC18" s="668">
        <v>41731</v>
      </c>
      <c r="AD18" s="669">
        <v>41061</v>
      </c>
      <c r="AE18" s="670">
        <f t="shared" ca="1" si="3"/>
        <v>1495</v>
      </c>
      <c r="AF18" s="639" t="s">
        <v>1295</v>
      </c>
    </row>
    <row r="19" spans="1:33" s="707" customFormat="1" ht="38.25" x14ac:dyDescent="0.2">
      <c r="A19" s="639" t="s">
        <v>790</v>
      </c>
      <c r="B19" s="660" t="s">
        <v>667</v>
      </c>
      <c r="C19" s="639" t="s">
        <v>130</v>
      </c>
      <c r="D19" s="661" t="s">
        <v>1116</v>
      </c>
      <c r="E19" s="661" t="s">
        <v>1532</v>
      </c>
      <c r="F19" s="706">
        <v>0</v>
      </c>
      <c r="G19" s="702">
        <v>0</v>
      </c>
      <c r="H19" s="702">
        <v>0</v>
      </c>
      <c r="I19" s="702">
        <v>0</v>
      </c>
      <c r="J19" s="702">
        <v>5295.4699999999993</v>
      </c>
      <c r="K19" s="702">
        <f>3615.89+3010.2</f>
        <v>6626.09</v>
      </c>
      <c r="L19" s="702">
        <v>0</v>
      </c>
      <c r="M19" s="702">
        <v>1871.79</v>
      </c>
      <c r="N19" s="702">
        <v>1936.57</v>
      </c>
      <c r="O19" s="702">
        <v>0</v>
      </c>
      <c r="P19" s="702">
        <v>13593.58</v>
      </c>
      <c r="Q19" s="702">
        <v>8043.85</v>
      </c>
      <c r="R19" s="702">
        <v>4565.26</v>
      </c>
      <c r="S19" s="663">
        <f t="shared" si="2"/>
        <v>41932.61</v>
      </c>
      <c r="T19" s="701">
        <f t="shared" ca="1" si="4"/>
        <v>-2592</v>
      </c>
      <c r="U19" s="664">
        <v>41790</v>
      </c>
      <c r="V19" s="665" t="s">
        <v>1254</v>
      </c>
      <c r="W19" s="703" t="s">
        <v>1363</v>
      </c>
      <c r="X19" s="708"/>
      <c r="Y19" s="708"/>
      <c r="Z19" s="708"/>
      <c r="AA19" s="708"/>
      <c r="AB19" s="708"/>
      <c r="AC19" s="668">
        <v>41731</v>
      </c>
      <c r="AD19" s="669">
        <v>41061</v>
      </c>
      <c r="AE19" s="670">
        <f t="shared" ca="1" si="3"/>
        <v>1495</v>
      </c>
      <c r="AF19" s="639" t="s">
        <v>1295</v>
      </c>
    </row>
    <row r="20" spans="1:33" s="707" customFormat="1" ht="38.25" x14ac:dyDescent="0.2">
      <c r="A20" s="639" t="s">
        <v>790</v>
      </c>
      <c r="B20" s="660" t="s">
        <v>667</v>
      </c>
      <c r="C20" s="639" t="s">
        <v>130</v>
      </c>
      <c r="D20" s="661" t="s">
        <v>1117</v>
      </c>
      <c r="E20" s="661" t="s">
        <v>1532</v>
      </c>
      <c r="F20" s="706">
        <v>0</v>
      </c>
      <c r="G20" s="702">
        <v>0</v>
      </c>
      <c r="H20" s="702">
        <v>0</v>
      </c>
      <c r="I20" s="702">
        <v>0</v>
      </c>
      <c r="J20" s="702">
        <v>1457.5700000000002</v>
      </c>
      <c r="K20" s="702">
        <v>6179.08</v>
      </c>
      <c r="L20" s="702">
        <v>5262.22</v>
      </c>
      <c r="M20" s="702">
        <v>893.86</v>
      </c>
      <c r="N20" s="702">
        <v>4788.58</v>
      </c>
      <c r="O20" s="702">
        <v>0</v>
      </c>
      <c r="P20" s="702">
        <v>3313.07</v>
      </c>
      <c r="Q20" s="702">
        <v>0</v>
      </c>
      <c r="R20" s="702">
        <v>0</v>
      </c>
      <c r="S20" s="663">
        <f t="shared" si="2"/>
        <v>21894.379999999997</v>
      </c>
      <c r="T20" s="701">
        <f t="shared" ca="1" si="4"/>
        <v>-2592</v>
      </c>
      <c r="U20" s="664">
        <v>41790</v>
      </c>
      <c r="V20" s="665" t="s">
        <v>1254</v>
      </c>
      <c r="W20" s="703" t="s">
        <v>1364</v>
      </c>
      <c r="X20" s="708"/>
      <c r="Y20" s="708"/>
      <c r="Z20" s="708"/>
      <c r="AA20" s="708"/>
      <c r="AB20" s="708"/>
      <c r="AC20" s="668">
        <v>41731</v>
      </c>
      <c r="AD20" s="669">
        <v>41061</v>
      </c>
      <c r="AE20" s="670">
        <f t="shared" ca="1" si="3"/>
        <v>1495</v>
      </c>
      <c r="AF20" s="639" t="s">
        <v>1295</v>
      </c>
    </row>
    <row r="21" spans="1:33" s="707" customFormat="1" ht="38.25" x14ac:dyDescent="0.2">
      <c r="A21" s="639" t="s">
        <v>790</v>
      </c>
      <c r="B21" s="660" t="s">
        <v>667</v>
      </c>
      <c r="C21" s="639" t="s">
        <v>130</v>
      </c>
      <c r="D21" s="661" t="s">
        <v>1118</v>
      </c>
      <c r="E21" s="661" t="s">
        <v>1532</v>
      </c>
      <c r="F21" s="706">
        <v>0</v>
      </c>
      <c r="G21" s="702">
        <v>2390.23</v>
      </c>
      <c r="H21" s="702">
        <v>0</v>
      </c>
      <c r="I21" s="702">
        <v>1516.95</v>
      </c>
      <c r="J21" s="702">
        <v>0</v>
      </c>
      <c r="K21" s="702">
        <v>6238.99</v>
      </c>
      <c r="L21" s="702">
        <v>708.17</v>
      </c>
      <c r="M21" s="702">
        <v>1000.96</v>
      </c>
      <c r="N21" s="702">
        <v>9356.7000000000007</v>
      </c>
      <c r="O21" s="702">
        <v>0</v>
      </c>
      <c r="P21" s="702">
        <v>0</v>
      </c>
      <c r="Q21" s="702">
        <v>0</v>
      </c>
      <c r="R21" s="702">
        <v>0</v>
      </c>
      <c r="S21" s="663">
        <f t="shared" si="2"/>
        <v>21212</v>
      </c>
      <c r="T21" s="701">
        <f t="shared" ca="1" si="4"/>
        <v>-2592</v>
      </c>
      <c r="U21" s="664">
        <v>41790</v>
      </c>
      <c r="V21" s="665" t="s">
        <v>1254</v>
      </c>
      <c r="W21" s="703" t="s">
        <v>1368</v>
      </c>
      <c r="X21" s="708"/>
      <c r="Y21" s="708"/>
      <c r="Z21" s="708"/>
      <c r="AA21" s="708"/>
      <c r="AB21" s="708"/>
      <c r="AC21" s="668">
        <v>41731</v>
      </c>
      <c r="AD21" s="669">
        <v>41061</v>
      </c>
      <c r="AE21" s="670">
        <f t="shared" ca="1" si="3"/>
        <v>1495</v>
      </c>
      <c r="AF21" s="639" t="s">
        <v>1295</v>
      </c>
    </row>
    <row r="22" spans="1:33" s="707" customFormat="1" ht="38.25" x14ac:dyDescent="0.2">
      <c r="A22" s="639" t="s">
        <v>790</v>
      </c>
      <c r="B22" s="660" t="s">
        <v>667</v>
      </c>
      <c r="C22" s="639" t="s">
        <v>130</v>
      </c>
      <c r="D22" s="661" t="s">
        <v>1119</v>
      </c>
      <c r="E22" s="661" t="s">
        <v>1532</v>
      </c>
      <c r="F22" s="706">
        <v>0</v>
      </c>
      <c r="G22" s="702">
        <f>504.62+217.53</f>
        <v>722.15</v>
      </c>
      <c r="H22" s="702">
        <v>110.15</v>
      </c>
      <c r="I22" s="702">
        <v>72</v>
      </c>
      <c r="J22" s="702">
        <v>0</v>
      </c>
      <c r="K22" s="702">
        <v>13043.390000000001</v>
      </c>
      <c r="L22" s="702">
        <v>0</v>
      </c>
      <c r="M22" s="702">
        <v>0</v>
      </c>
      <c r="N22" s="702">
        <v>10406</v>
      </c>
      <c r="O22" s="702">
        <v>0</v>
      </c>
      <c r="P22" s="702">
        <v>10351.92</v>
      </c>
      <c r="Q22" s="702">
        <v>9651.5999999999985</v>
      </c>
      <c r="R22" s="702">
        <v>15202.68</v>
      </c>
      <c r="S22" s="663">
        <f>SUM(G22:R22)</f>
        <v>59559.89</v>
      </c>
      <c r="T22" s="701">
        <f t="shared" ca="1" si="4"/>
        <v>-2592</v>
      </c>
      <c r="U22" s="664">
        <v>41790</v>
      </c>
      <c r="V22" s="665" t="s">
        <v>1256</v>
      </c>
      <c r="W22" s="703" t="s">
        <v>1318</v>
      </c>
      <c r="X22" s="708"/>
      <c r="Y22" s="708"/>
      <c r="Z22" s="708"/>
      <c r="AA22" s="708"/>
      <c r="AB22" s="708"/>
      <c r="AC22" s="668">
        <v>41731</v>
      </c>
      <c r="AD22" s="669">
        <v>41061</v>
      </c>
      <c r="AE22" s="670">
        <f t="shared" ca="1" si="3"/>
        <v>1495</v>
      </c>
      <c r="AF22" s="639" t="s">
        <v>1295</v>
      </c>
    </row>
    <row r="23" spans="1:33" s="707" customFormat="1" ht="38.25" x14ac:dyDescent="0.2">
      <c r="A23" s="639" t="s">
        <v>790</v>
      </c>
      <c r="B23" s="660" t="s">
        <v>667</v>
      </c>
      <c r="C23" s="639" t="s">
        <v>130</v>
      </c>
      <c r="D23" s="661" t="s">
        <v>1121</v>
      </c>
      <c r="E23" s="661" t="s">
        <v>1532</v>
      </c>
      <c r="F23" s="706">
        <v>0</v>
      </c>
      <c r="G23" s="702">
        <v>0</v>
      </c>
      <c r="H23" s="702">
        <v>1108.96</v>
      </c>
      <c r="I23" s="702">
        <v>1120.95</v>
      </c>
      <c r="J23" s="702">
        <v>0</v>
      </c>
      <c r="K23" s="702">
        <v>5983.06</v>
      </c>
      <c r="L23" s="702">
        <v>29352.41</v>
      </c>
      <c r="M23" s="702">
        <v>584.36</v>
      </c>
      <c r="N23" s="702">
        <v>4761.3599999999988</v>
      </c>
      <c r="O23" s="702">
        <v>5259.22</v>
      </c>
      <c r="P23" s="702">
        <v>2551.9699999999998</v>
      </c>
      <c r="Q23" s="702">
        <v>391.98</v>
      </c>
      <c r="R23" s="702">
        <v>0</v>
      </c>
      <c r="S23" s="663">
        <f t="shared" si="2"/>
        <v>51114.270000000011</v>
      </c>
      <c r="T23" s="701">
        <f t="shared" ca="1" si="4"/>
        <v>-2592</v>
      </c>
      <c r="U23" s="664">
        <v>41790</v>
      </c>
      <c r="V23" s="665" t="s">
        <v>1254</v>
      </c>
      <c r="W23" s="703" t="s">
        <v>1367</v>
      </c>
      <c r="X23" s="708"/>
      <c r="Y23" s="708"/>
      <c r="Z23" s="708"/>
      <c r="AA23" s="708"/>
      <c r="AB23" s="708"/>
      <c r="AC23" s="668">
        <v>41731</v>
      </c>
      <c r="AD23" s="669">
        <v>41061</v>
      </c>
      <c r="AE23" s="670">
        <f t="shared" ca="1" si="3"/>
        <v>1495</v>
      </c>
      <c r="AF23" s="639" t="s">
        <v>1295</v>
      </c>
    </row>
    <row r="24" spans="1:33" s="587" customFormat="1" ht="38.25" x14ac:dyDescent="0.2">
      <c r="A24" s="639" t="s">
        <v>790</v>
      </c>
      <c r="B24" s="660" t="s">
        <v>667</v>
      </c>
      <c r="C24" s="639" t="s">
        <v>130</v>
      </c>
      <c r="D24" s="661" t="s">
        <v>1120</v>
      </c>
      <c r="E24" s="661" t="s">
        <v>1532</v>
      </c>
      <c r="F24" s="706">
        <v>0</v>
      </c>
      <c r="G24" s="702">
        <v>0</v>
      </c>
      <c r="H24" s="702">
        <v>0</v>
      </c>
      <c r="I24" s="702">
        <v>0</v>
      </c>
      <c r="J24" s="702">
        <v>0</v>
      </c>
      <c r="K24" s="702">
        <v>0</v>
      </c>
      <c r="L24" s="702">
        <v>11240.26</v>
      </c>
      <c r="M24" s="702">
        <v>0</v>
      </c>
      <c r="N24" s="702">
        <v>2815.24</v>
      </c>
      <c r="O24" s="702">
        <v>0</v>
      </c>
      <c r="P24" s="702">
        <v>0</v>
      </c>
      <c r="Q24" s="702">
        <v>0</v>
      </c>
      <c r="R24" s="702">
        <v>0</v>
      </c>
      <c r="S24" s="663">
        <f t="shared" si="2"/>
        <v>14055.5</v>
      </c>
      <c r="T24" s="701">
        <f t="shared" ca="1" si="4"/>
        <v>-2592</v>
      </c>
      <c r="U24" s="664">
        <v>41790</v>
      </c>
      <c r="V24" s="665" t="s">
        <v>1254</v>
      </c>
      <c r="W24" s="703" t="s">
        <v>1370</v>
      </c>
      <c r="X24" s="708"/>
      <c r="Y24" s="708"/>
      <c r="Z24" s="708"/>
      <c r="AA24" s="708"/>
      <c r="AB24" s="708"/>
      <c r="AC24" s="668">
        <v>41731</v>
      </c>
      <c r="AD24" s="669">
        <v>41061</v>
      </c>
      <c r="AE24" s="670">
        <f t="shared" ca="1" si="3"/>
        <v>1495</v>
      </c>
      <c r="AF24" s="639" t="s">
        <v>1295</v>
      </c>
    </row>
    <row r="25" spans="1:33" s="587" customFormat="1" ht="38.25" x14ac:dyDescent="0.2">
      <c r="A25" s="639" t="s">
        <v>790</v>
      </c>
      <c r="B25" s="660" t="s">
        <v>667</v>
      </c>
      <c r="C25" s="639" t="s">
        <v>130</v>
      </c>
      <c r="D25" s="661" t="s">
        <v>1122</v>
      </c>
      <c r="E25" s="661" t="s">
        <v>1532</v>
      </c>
      <c r="F25" s="706">
        <v>0</v>
      </c>
      <c r="G25" s="702">
        <v>731.06999999999994</v>
      </c>
      <c r="H25" s="702">
        <v>7546.7</v>
      </c>
      <c r="I25" s="702">
        <v>0</v>
      </c>
      <c r="J25" s="702">
        <v>0</v>
      </c>
      <c r="K25" s="702">
        <v>739.96</v>
      </c>
      <c r="L25" s="702">
        <v>0</v>
      </c>
      <c r="M25" s="702">
        <v>0</v>
      </c>
      <c r="N25" s="702">
        <v>7225.9199999999992</v>
      </c>
      <c r="O25" s="702">
        <v>2621.34</v>
      </c>
      <c r="P25" s="702">
        <v>0</v>
      </c>
      <c r="Q25" s="702">
        <v>253.91</v>
      </c>
      <c r="R25" s="702">
        <v>3617.6000000000004</v>
      </c>
      <c r="S25" s="663">
        <f t="shared" si="2"/>
        <v>22736.5</v>
      </c>
      <c r="T25" s="701">
        <f t="shared" ca="1" si="4"/>
        <v>-2592</v>
      </c>
      <c r="U25" s="664">
        <v>41790</v>
      </c>
      <c r="V25" s="665" t="s">
        <v>1254</v>
      </c>
      <c r="W25" s="703" t="s">
        <v>1369</v>
      </c>
      <c r="X25" s="708"/>
      <c r="Y25" s="708"/>
      <c r="Z25" s="708"/>
      <c r="AA25" s="708"/>
      <c r="AB25" s="708"/>
      <c r="AC25" s="668">
        <v>41731</v>
      </c>
      <c r="AD25" s="669">
        <v>41061</v>
      </c>
      <c r="AE25" s="670">
        <f t="shared" ca="1" si="3"/>
        <v>1495</v>
      </c>
      <c r="AF25" s="639" t="s">
        <v>1295</v>
      </c>
      <c r="AG25" s="707"/>
    </row>
    <row r="26" spans="1:33" s="587" customFormat="1" ht="38.25" x14ac:dyDescent="0.2">
      <c r="A26" s="639" t="s">
        <v>790</v>
      </c>
      <c r="B26" s="660" t="s">
        <v>667</v>
      </c>
      <c r="C26" s="639" t="s">
        <v>130</v>
      </c>
      <c r="D26" s="661" t="s">
        <v>1505</v>
      </c>
      <c r="E26" s="661" t="s">
        <v>1532</v>
      </c>
      <c r="F26" s="706">
        <v>0</v>
      </c>
      <c r="G26" s="702">
        <v>0</v>
      </c>
      <c r="H26" s="702">
        <v>1918.95</v>
      </c>
      <c r="I26" s="702">
        <v>0</v>
      </c>
      <c r="J26" s="702">
        <v>2074.92</v>
      </c>
      <c r="K26" s="702">
        <v>44108.939999999995</v>
      </c>
      <c r="L26" s="702">
        <v>0</v>
      </c>
      <c r="M26" s="702">
        <v>4263.28</v>
      </c>
      <c r="N26" s="702">
        <v>6817.85</v>
      </c>
      <c r="O26" s="702">
        <v>0</v>
      </c>
      <c r="P26" s="702">
        <v>137.38</v>
      </c>
      <c r="Q26" s="702">
        <v>2563.3999999999996</v>
      </c>
      <c r="R26" s="702">
        <f>2211.46+6212.35</f>
        <v>8423.8100000000013</v>
      </c>
      <c r="S26" s="663">
        <f t="shared" si="2"/>
        <v>70308.53</v>
      </c>
      <c r="T26" s="701">
        <f t="shared" ca="1" si="4"/>
        <v>-2592</v>
      </c>
      <c r="U26" s="664">
        <v>41790</v>
      </c>
      <c r="V26" s="665" t="s">
        <v>1254</v>
      </c>
      <c r="W26" s="703" t="s">
        <v>1366</v>
      </c>
      <c r="X26" s="708"/>
      <c r="Y26" s="708"/>
      <c r="Z26" s="708"/>
      <c r="AA26" s="708"/>
      <c r="AB26" s="708"/>
      <c r="AC26" s="668">
        <v>41731</v>
      </c>
      <c r="AD26" s="669">
        <v>41061</v>
      </c>
      <c r="AE26" s="670">
        <f t="shared" ca="1" si="3"/>
        <v>1495</v>
      </c>
      <c r="AF26" s="639" t="s">
        <v>1295</v>
      </c>
    </row>
    <row r="27" spans="1:33" s="587" customFormat="1" ht="38.25" x14ac:dyDescent="0.2">
      <c r="A27" s="639" t="s">
        <v>790</v>
      </c>
      <c r="B27" s="660" t="s">
        <v>667</v>
      </c>
      <c r="C27" s="639" t="s">
        <v>130</v>
      </c>
      <c r="D27" s="661" t="s">
        <v>1125</v>
      </c>
      <c r="E27" s="661" t="s">
        <v>1532</v>
      </c>
      <c r="F27" s="706">
        <v>0</v>
      </c>
      <c r="G27" s="702">
        <v>3695.85</v>
      </c>
      <c r="H27" s="702">
        <v>18472.57</v>
      </c>
      <c r="I27" s="702">
        <v>8960.48</v>
      </c>
      <c r="J27" s="702">
        <v>10477.68</v>
      </c>
      <c r="K27" s="702">
        <v>2624.28</v>
      </c>
      <c r="L27" s="702">
        <v>13871.32</v>
      </c>
      <c r="M27" s="702">
        <v>8165.7800000000007</v>
      </c>
      <c r="N27" s="702">
        <v>3457.3399999999997</v>
      </c>
      <c r="O27" s="702">
        <v>3044.29</v>
      </c>
      <c r="P27" s="702">
        <v>808.43999999999994</v>
      </c>
      <c r="Q27" s="702">
        <v>14368.390000000001</v>
      </c>
      <c r="R27" s="702">
        <v>10213.920000000002</v>
      </c>
      <c r="S27" s="663">
        <f t="shared" si="2"/>
        <v>98160.34</v>
      </c>
      <c r="T27" s="701">
        <f t="shared" ca="1" si="4"/>
        <v>-2957</v>
      </c>
      <c r="U27" s="664">
        <v>41425</v>
      </c>
      <c r="V27" s="665" t="s">
        <v>1115</v>
      </c>
      <c r="W27" s="703" t="s">
        <v>1372</v>
      </c>
      <c r="X27" s="708"/>
      <c r="Y27" s="708"/>
      <c r="Z27" s="708"/>
      <c r="AA27" s="708"/>
      <c r="AB27" s="708"/>
      <c r="AC27" s="668">
        <v>41731</v>
      </c>
      <c r="AD27" s="669">
        <v>41061</v>
      </c>
      <c r="AE27" s="670">
        <f t="shared" ca="1" si="3"/>
        <v>1495</v>
      </c>
      <c r="AF27" s="639" t="s">
        <v>1295</v>
      </c>
    </row>
    <row r="28" spans="1:33" s="587" customFormat="1" ht="38.25" x14ac:dyDescent="0.2">
      <c r="A28" s="639" t="s">
        <v>1126</v>
      </c>
      <c r="B28" s="639" t="s">
        <v>1353</v>
      </c>
      <c r="C28" s="639" t="s">
        <v>56</v>
      </c>
      <c r="D28" s="661" t="s">
        <v>1127</v>
      </c>
      <c r="E28" s="661" t="s">
        <v>1881</v>
      </c>
      <c r="F28" s="684" t="s">
        <v>1888</v>
      </c>
      <c r="G28" s="702">
        <v>0</v>
      </c>
      <c r="H28" s="702">
        <v>1169.1599999999999</v>
      </c>
      <c r="I28" s="702">
        <v>805.98</v>
      </c>
      <c r="J28" s="702">
        <v>559.98</v>
      </c>
      <c r="K28" s="702">
        <v>550.79999999999995</v>
      </c>
      <c r="L28" s="702">
        <v>796.8</v>
      </c>
      <c r="M28" s="702">
        <v>743.01</v>
      </c>
      <c r="N28" s="702">
        <v>782.01</v>
      </c>
      <c r="O28" s="702">
        <v>694.12</v>
      </c>
      <c r="P28" s="702">
        <v>789.27</v>
      </c>
      <c r="Q28" s="702">
        <v>591.16</v>
      </c>
      <c r="R28" s="702">
        <v>537.13</v>
      </c>
      <c r="S28" s="663">
        <f t="shared" si="2"/>
        <v>8019.420000000001</v>
      </c>
      <c r="T28" s="701">
        <f t="shared" ca="1" si="4"/>
        <v>-1475</v>
      </c>
      <c r="U28" s="664">
        <v>42907</v>
      </c>
      <c r="V28" s="665" t="s">
        <v>1882</v>
      </c>
      <c r="W28" s="666" t="s">
        <v>750</v>
      </c>
      <c r="X28" s="708"/>
      <c r="Y28" s="708"/>
      <c r="Z28" s="708"/>
      <c r="AA28" s="708"/>
      <c r="AB28" s="708"/>
      <c r="AC28" s="668"/>
      <c r="AD28" s="669">
        <v>41082</v>
      </c>
      <c r="AE28" s="670">
        <f t="shared" ca="1" si="3"/>
        <v>1474</v>
      </c>
      <c r="AF28" s="639" t="s">
        <v>96</v>
      </c>
    </row>
    <row r="29" spans="1:33" s="587" customFormat="1" ht="51" x14ac:dyDescent="0.2">
      <c r="A29" s="639" t="s">
        <v>1155</v>
      </c>
      <c r="B29" s="639" t="s">
        <v>1154</v>
      </c>
      <c r="C29" s="639" t="s">
        <v>613</v>
      </c>
      <c r="D29" s="661" t="s">
        <v>1050</v>
      </c>
      <c r="E29" s="661" t="s">
        <v>1209</v>
      </c>
      <c r="F29" s="684">
        <v>110330.88</v>
      </c>
      <c r="G29" s="702">
        <f>8392.1*5</f>
        <v>41960.5</v>
      </c>
      <c r="H29" s="702">
        <v>8392.1</v>
      </c>
      <c r="I29" s="702">
        <v>8392.1</v>
      </c>
      <c r="J29" s="702">
        <v>8392.1</v>
      </c>
      <c r="K29" s="702">
        <v>8392.1</v>
      </c>
      <c r="L29" s="702">
        <v>8392.1</v>
      </c>
      <c r="M29" s="702">
        <v>8392.1</v>
      </c>
      <c r="N29" s="702">
        <v>8392.1</v>
      </c>
      <c r="O29" s="702">
        <v>0</v>
      </c>
      <c r="P29" s="702">
        <v>0</v>
      </c>
      <c r="Q29" s="702">
        <v>18388.48</v>
      </c>
      <c r="R29" s="702">
        <v>18388.48</v>
      </c>
      <c r="S29" s="663">
        <f t="shared" si="2"/>
        <v>137482.16000000003</v>
      </c>
      <c r="T29" s="701">
        <f t="shared" ca="1" si="4"/>
        <v>-1419</v>
      </c>
      <c r="U29" s="664">
        <v>42963</v>
      </c>
      <c r="V29" s="665" t="s">
        <v>1941</v>
      </c>
      <c r="W29" s="666" t="s">
        <v>731</v>
      </c>
      <c r="X29" s="667"/>
      <c r="Y29" s="667"/>
      <c r="Z29" s="667"/>
      <c r="AA29" s="667"/>
      <c r="AB29" s="667"/>
      <c r="AC29" s="668"/>
      <c r="AD29" s="669">
        <v>41138</v>
      </c>
      <c r="AE29" s="670">
        <f ca="1">TODAY()-DATE(YEAR(AD29)+6,MONTH(AD29),DAY(AD29))</f>
        <v>1053</v>
      </c>
      <c r="AF29" s="639" t="s">
        <v>169</v>
      </c>
    </row>
    <row r="30" spans="1:33" s="587" customFormat="1" ht="24.75" customHeight="1" x14ac:dyDescent="0.2">
      <c r="A30" s="639" t="s">
        <v>215</v>
      </c>
      <c r="B30" s="639" t="s">
        <v>23</v>
      </c>
      <c r="C30" s="639" t="s">
        <v>24</v>
      </c>
      <c r="D30" s="661" t="s">
        <v>216</v>
      </c>
      <c r="E30" s="661" t="s">
        <v>1389</v>
      </c>
      <c r="F30" s="684" t="s">
        <v>375</v>
      </c>
      <c r="G30" s="702">
        <v>107.38</v>
      </c>
      <c r="H30" s="702">
        <v>585.91</v>
      </c>
      <c r="I30" s="702">
        <v>159.12</v>
      </c>
      <c r="J30" s="702">
        <v>106.6</v>
      </c>
      <c r="K30" s="702">
        <v>0</v>
      </c>
      <c r="L30" s="702">
        <v>0</v>
      </c>
      <c r="M30" s="702">
        <v>391.3</v>
      </c>
      <c r="N30" s="702">
        <v>147.4</v>
      </c>
      <c r="O30" s="702">
        <v>358.6</v>
      </c>
      <c r="P30" s="702">
        <v>261.02999999999997</v>
      </c>
      <c r="Q30" s="702">
        <v>0</v>
      </c>
      <c r="R30" s="702">
        <v>185.35</v>
      </c>
      <c r="S30" s="663">
        <f t="shared" si="2"/>
        <v>2302.69</v>
      </c>
      <c r="T30" s="701">
        <f t="shared" ca="1" si="4"/>
        <v>-1353</v>
      </c>
      <c r="U30" s="664">
        <v>43029</v>
      </c>
      <c r="V30" s="665" t="s">
        <v>1157</v>
      </c>
      <c r="W30" s="666" t="s">
        <v>757</v>
      </c>
      <c r="X30" s="667"/>
      <c r="Y30" s="667"/>
      <c r="Z30" s="667"/>
      <c r="AA30" s="667"/>
      <c r="AB30" s="667"/>
      <c r="AC30" s="668"/>
      <c r="AD30" s="669">
        <v>41204</v>
      </c>
      <c r="AE30" s="670">
        <f ca="1">TODAY()-DATE(YEAR(AD30)+6,MONTH(AD30),DAY(AD30))</f>
        <v>987</v>
      </c>
      <c r="AF30" s="639" t="s">
        <v>169</v>
      </c>
    </row>
    <row r="31" spans="1:33" s="671" customFormat="1" ht="38.25" x14ac:dyDescent="0.2">
      <c r="A31" s="705" t="s">
        <v>1158</v>
      </c>
      <c r="B31" s="639" t="s">
        <v>590</v>
      </c>
      <c r="C31" s="639"/>
      <c r="D31" s="661" t="s">
        <v>1423</v>
      </c>
      <c r="E31" s="661" t="s">
        <v>1160</v>
      </c>
      <c r="F31" s="684">
        <v>13598.16</v>
      </c>
      <c r="G31" s="702">
        <v>2223.9599999999996</v>
      </c>
      <c r="H31" s="702">
        <v>2480.2199999999998</v>
      </c>
      <c r="I31" s="702">
        <v>2002.04</v>
      </c>
      <c r="J31" s="702">
        <v>2102.4</v>
      </c>
      <c r="K31" s="702">
        <v>3678.36</v>
      </c>
      <c r="L31" s="702">
        <v>2010.52</v>
      </c>
      <c r="M31" s="702">
        <v>2316.08</v>
      </c>
      <c r="N31" s="702">
        <v>2461.83</v>
      </c>
      <c r="O31" s="702">
        <v>3393.21</v>
      </c>
      <c r="P31" s="702">
        <v>2331.11</v>
      </c>
      <c r="Q31" s="702">
        <v>2349.75</v>
      </c>
      <c r="R31" s="702">
        <v>1952.99</v>
      </c>
      <c r="S31" s="663">
        <f t="shared" si="2"/>
        <v>29302.470000000005</v>
      </c>
      <c r="T31" s="701">
        <f t="shared" ca="1" si="4"/>
        <v>-1370</v>
      </c>
      <c r="U31" s="664">
        <v>43012</v>
      </c>
      <c r="V31" s="665" t="s">
        <v>1943</v>
      </c>
      <c r="W31" s="666" t="s">
        <v>1394</v>
      </c>
      <c r="X31" s="667"/>
      <c r="Y31" s="667"/>
      <c r="Z31" s="667"/>
      <c r="AA31" s="667"/>
      <c r="AB31" s="667"/>
      <c r="AC31" s="668"/>
      <c r="AD31" s="669">
        <v>41186</v>
      </c>
      <c r="AE31" s="670">
        <f t="shared" ref="AE31:AE85" ca="1" si="5">TODAY()-DATE(YEAR(AD31)+6,MONTH(AD31),DAY(AD31))</f>
        <v>1005</v>
      </c>
      <c r="AF31" s="639" t="s">
        <v>48</v>
      </c>
    </row>
    <row r="32" spans="1:33" s="587" customFormat="1" ht="89.25" x14ac:dyDescent="0.2">
      <c r="A32" s="639" t="s">
        <v>1174</v>
      </c>
      <c r="B32" s="639" t="s">
        <v>23</v>
      </c>
      <c r="C32" s="639"/>
      <c r="D32" s="661" t="s">
        <v>1972</v>
      </c>
      <c r="E32" s="661" t="s">
        <v>1534</v>
      </c>
      <c r="F32" s="684">
        <v>131897.70000000001</v>
      </c>
      <c r="G32" s="702">
        <v>5053.25</v>
      </c>
      <c r="H32" s="702">
        <v>4610.04</v>
      </c>
      <c r="I32" s="702">
        <v>5846.58</v>
      </c>
      <c r="J32" s="702">
        <v>5975.48</v>
      </c>
      <c r="K32" s="702">
        <v>6661.78</v>
      </c>
      <c r="L32" s="702">
        <v>5203.51</v>
      </c>
      <c r="M32" s="702">
        <v>7857.25</v>
      </c>
      <c r="N32" s="702">
        <v>4912.7700000000004</v>
      </c>
      <c r="O32" s="702">
        <v>4117.34</v>
      </c>
      <c r="P32" s="702">
        <v>4452.53</v>
      </c>
      <c r="Q32" s="702">
        <v>2999.8599999999997</v>
      </c>
      <c r="R32" s="702">
        <v>4393.0600000000004</v>
      </c>
      <c r="S32" s="663">
        <f t="shared" si="2"/>
        <v>62083.45</v>
      </c>
      <c r="T32" s="701">
        <f t="shared" ca="1" si="4"/>
        <v>-1345</v>
      </c>
      <c r="U32" s="664">
        <v>43037</v>
      </c>
      <c r="V32" s="665" t="s">
        <v>1973</v>
      </c>
      <c r="W32" s="666" t="s">
        <v>1397</v>
      </c>
      <c r="X32" s="667"/>
      <c r="Y32" s="667"/>
      <c r="Z32" s="667"/>
      <c r="AA32" s="667"/>
      <c r="AB32" s="667"/>
      <c r="AC32" s="668"/>
      <c r="AD32" s="669">
        <v>41212</v>
      </c>
      <c r="AE32" s="670">
        <f t="shared" ca="1" si="5"/>
        <v>979</v>
      </c>
      <c r="AF32" s="639" t="s">
        <v>48</v>
      </c>
    </row>
    <row r="33" spans="1:33" s="587" customFormat="1" ht="38.25" x14ac:dyDescent="0.2">
      <c r="A33" s="639" t="s">
        <v>790</v>
      </c>
      <c r="B33" s="660" t="s">
        <v>23</v>
      </c>
      <c r="C33" s="639" t="s">
        <v>130</v>
      </c>
      <c r="D33" s="661" t="s">
        <v>1181</v>
      </c>
      <c r="E33" s="661" t="s">
        <v>1535</v>
      </c>
      <c r="F33" s="706" t="s">
        <v>314</v>
      </c>
      <c r="G33" s="702">
        <v>0</v>
      </c>
      <c r="H33" s="702">
        <v>0</v>
      </c>
      <c r="I33" s="702">
        <v>0</v>
      </c>
      <c r="J33" s="702">
        <v>0</v>
      </c>
      <c r="K33" s="702">
        <v>0</v>
      </c>
      <c r="L33" s="702">
        <v>0</v>
      </c>
      <c r="M33" s="702">
        <v>0</v>
      </c>
      <c r="N33" s="702">
        <v>0</v>
      </c>
      <c r="O33" s="702">
        <v>0</v>
      </c>
      <c r="P33" s="702">
        <v>0</v>
      </c>
      <c r="Q33" s="702">
        <v>0</v>
      </c>
      <c r="R33" s="702">
        <v>0</v>
      </c>
      <c r="S33" s="663">
        <f t="shared" si="2"/>
        <v>0</v>
      </c>
      <c r="T33" s="701">
        <f t="shared" ca="1" si="4"/>
        <v>-2821</v>
      </c>
      <c r="U33" s="664">
        <v>41561</v>
      </c>
      <c r="V33" s="665" t="s">
        <v>1536</v>
      </c>
      <c r="W33" s="703" t="s">
        <v>1398</v>
      </c>
      <c r="X33" s="708"/>
      <c r="Y33" s="708"/>
      <c r="Z33" s="708"/>
      <c r="AA33" s="708"/>
      <c r="AB33" s="708"/>
      <c r="AC33" s="668">
        <v>41512</v>
      </c>
      <c r="AD33" s="669">
        <v>41197</v>
      </c>
      <c r="AE33" s="670">
        <f t="shared" ca="1" si="5"/>
        <v>994</v>
      </c>
      <c r="AF33" s="639" t="s">
        <v>201</v>
      </c>
    </row>
    <row r="34" spans="1:33" s="587" customFormat="1" ht="51" x14ac:dyDescent="0.2">
      <c r="A34" s="639" t="s">
        <v>1201</v>
      </c>
      <c r="B34" s="709" t="s">
        <v>1321</v>
      </c>
      <c r="C34" s="639" t="s">
        <v>617</v>
      </c>
      <c r="D34" s="661" t="s">
        <v>1202</v>
      </c>
      <c r="E34" s="661" t="s">
        <v>1476</v>
      </c>
      <c r="F34" s="684">
        <v>7238.64</v>
      </c>
      <c r="G34" s="702">
        <v>550.91999999999996</v>
      </c>
      <c r="H34" s="702">
        <v>550.91999999999996</v>
      </c>
      <c r="I34" s="702">
        <v>550.91999999999996</v>
      </c>
      <c r="J34" s="702">
        <v>550.91999999999996</v>
      </c>
      <c r="K34" s="702">
        <v>550.91999999999996</v>
      </c>
      <c r="L34" s="702">
        <v>550.91999999999996</v>
      </c>
      <c r="M34" s="702">
        <v>550.91999999999996</v>
      </c>
      <c r="N34" s="702">
        <v>550.91999999999996</v>
      </c>
      <c r="O34" s="702">
        <v>603.22</v>
      </c>
      <c r="P34" s="702">
        <v>603.22</v>
      </c>
      <c r="Q34" s="702">
        <f>603.22+1923.94</f>
        <v>2527.16</v>
      </c>
      <c r="R34" s="702">
        <v>603.22</v>
      </c>
      <c r="S34" s="663">
        <f t="shared" si="2"/>
        <v>8744.18</v>
      </c>
      <c r="T34" s="701">
        <f t="shared" ca="1" si="4"/>
        <v>-1439</v>
      </c>
      <c r="U34" s="664">
        <v>42943</v>
      </c>
      <c r="V34" s="665" t="s">
        <v>1910</v>
      </c>
      <c r="W34" s="666" t="s">
        <v>1322</v>
      </c>
      <c r="X34" s="667"/>
      <c r="Y34" s="667"/>
      <c r="Z34" s="667"/>
      <c r="AA34" s="667"/>
      <c r="AB34" s="667"/>
      <c r="AC34" s="668"/>
      <c r="AD34" s="669">
        <v>41302</v>
      </c>
      <c r="AE34" s="670">
        <f t="shared" ca="1" si="5"/>
        <v>889</v>
      </c>
      <c r="AF34" s="639" t="s">
        <v>96</v>
      </c>
    </row>
    <row r="35" spans="1:33" s="671" customFormat="1" ht="25.5" x14ac:dyDescent="0.2">
      <c r="A35" s="705" t="s">
        <v>1391</v>
      </c>
      <c r="B35" s="639"/>
      <c r="C35" s="639"/>
      <c r="D35" s="661" t="s">
        <v>1228</v>
      </c>
      <c r="E35" s="661" t="s">
        <v>1229</v>
      </c>
      <c r="F35" s="684">
        <v>4788</v>
      </c>
      <c r="G35" s="702">
        <v>0</v>
      </c>
      <c r="H35" s="702">
        <f>399+458.9</f>
        <v>857.9</v>
      </c>
      <c r="I35" s="702">
        <v>0</v>
      </c>
      <c r="J35" s="702">
        <f>399+407.65</f>
        <v>806.65</v>
      </c>
      <c r="K35" s="702">
        <v>0</v>
      </c>
      <c r="L35" s="702">
        <v>399</v>
      </c>
      <c r="M35" s="702">
        <v>399</v>
      </c>
      <c r="N35" s="702">
        <v>399</v>
      </c>
      <c r="O35" s="702">
        <f>399+399</f>
        <v>798</v>
      </c>
      <c r="P35" s="702">
        <v>399</v>
      </c>
      <c r="Q35" s="702">
        <v>0</v>
      </c>
      <c r="R35" s="702">
        <v>399</v>
      </c>
      <c r="S35" s="663">
        <f t="shared" si="2"/>
        <v>4457.55</v>
      </c>
      <c r="T35" s="701">
        <f t="shared" ca="1" si="4"/>
        <v>-2690</v>
      </c>
      <c r="U35" s="664">
        <v>41692</v>
      </c>
      <c r="V35" s="665" t="s">
        <v>1230</v>
      </c>
      <c r="W35" s="666"/>
      <c r="X35" s="667"/>
      <c r="Y35" s="667"/>
      <c r="Z35" s="667"/>
      <c r="AA35" s="667"/>
      <c r="AB35" s="667"/>
      <c r="AC35" s="668">
        <v>41667</v>
      </c>
      <c r="AD35" s="669">
        <v>41327</v>
      </c>
      <c r="AE35" s="670">
        <f t="shared" ca="1" si="5"/>
        <v>864</v>
      </c>
      <c r="AF35" s="639" t="s">
        <v>41</v>
      </c>
    </row>
    <row r="36" spans="1:33" s="671" customFormat="1" ht="38.25" x14ac:dyDescent="0.2">
      <c r="A36" s="705" t="s">
        <v>1332</v>
      </c>
      <c r="B36" s="639" t="s">
        <v>1353</v>
      </c>
      <c r="C36" s="639"/>
      <c r="D36" s="661" t="s">
        <v>194</v>
      </c>
      <c r="E36" s="661" t="s">
        <v>1663</v>
      </c>
      <c r="F36" s="684">
        <v>15600</v>
      </c>
      <c r="G36" s="702">
        <v>1300</v>
      </c>
      <c r="H36" s="702">
        <v>1300</v>
      </c>
      <c r="I36" s="702">
        <v>1300</v>
      </c>
      <c r="J36" s="702">
        <v>1300</v>
      </c>
      <c r="K36" s="702">
        <v>1300</v>
      </c>
      <c r="L36" s="702">
        <v>1300</v>
      </c>
      <c r="M36" s="702">
        <v>1300</v>
      </c>
      <c r="N36" s="702">
        <v>1300</v>
      </c>
      <c r="O36" s="702">
        <v>1300</v>
      </c>
      <c r="P36" s="702">
        <v>1300</v>
      </c>
      <c r="Q36" s="702">
        <v>1300</v>
      </c>
      <c r="R36" s="702">
        <v>1300</v>
      </c>
      <c r="S36" s="663">
        <f t="shared" si="2"/>
        <v>15600</v>
      </c>
      <c r="T36" s="701">
        <f ca="1">U36-$AE$3</f>
        <v>-1546</v>
      </c>
      <c r="U36" s="664">
        <v>42836</v>
      </c>
      <c r="V36" s="665" t="s">
        <v>1879</v>
      </c>
      <c r="W36" s="666" t="s">
        <v>734</v>
      </c>
      <c r="X36" s="667"/>
      <c r="Y36" s="667"/>
      <c r="Z36" s="667"/>
      <c r="AA36" s="667"/>
      <c r="AB36" s="667"/>
      <c r="AC36" s="668"/>
      <c r="AD36" s="669">
        <v>41376</v>
      </c>
      <c r="AE36" s="670">
        <f t="shared" ca="1" si="5"/>
        <v>815</v>
      </c>
      <c r="AF36" s="639" t="s">
        <v>48</v>
      </c>
    </row>
    <row r="37" spans="1:33" s="587" customFormat="1" ht="38.25" x14ac:dyDescent="0.2">
      <c r="A37" s="639" t="s">
        <v>1698</v>
      </c>
      <c r="B37" s="709" t="s">
        <v>1330</v>
      </c>
      <c r="C37" s="639"/>
      <c r="D37" s="661" t="s">
        <v>340</v>
      </c>
      <c r="E37" s="661" t="s">
        <v>1249</v>
      </c>
      <c r="F37" s="684">
        <v>23087.279999999999</v>
      </c>
      <c r="G37" s="702">
        <v>1728.47</v>
      </c>
      <c r="H37" s="702">
        <v>1728.47</v>
      </c>
      <c r="I37" s="702">
        <v>1728.47</v>
      </c>
      <c r="J37" s="702">
        <v>1728.47</v>
      </c>
      <c r="K37" s="702">
        <v>0</v>
      </c>
      <c r="L37" s="702">
        <f>2020.13+1814.89</f>
        <v>3835.0200000000004</v>
      </c>
      <c r="M37" s="702">
        <v>1923.94</v>
      </c>
      <c r="N37" s="702">
        <v>2020.13</v>
      </c>
      <c r="O37" s="702">
        <v>2020.13</v>
      </c>
      <c r="P37" s="702">
        <v>2020.13</v>
      </c>
      <c r="Q37" s="702">
        <v>0</v>
      </c>
      <c r="R37" s="702">
        <v>1923.94</v>
      </c>
      <c r="S37" s="663">
        <f t="shared" si="2"/>
        <v>20657.170000000002</v>
      </c>
      <c r="T37" s="701">
        <f t="shared" ref="T37:T91" ca="1" si="6">U37-$AE$3</f>
        <v>-1581</v>
      </c>
      <c r="U37" s="664">
        <v>42801</v>
      </c>
      <c r="V37" s="665" t="s">
        <v>1867</v>
      </c>
      <c r="W37" s="666" t="s">
        <v>1331</v>
      </c>
      <c r="X37" s="667"/>
      <c r="Y37" s="667"/>
      <c r="Z37" s="667"/>
      <c r="AA37" s="667"/>
      <c r="AB37" s="667"/>
      <c r="AC37" s="668">
        <v>42747</v>
      </c>
      <c r="AD37" s="669">
        <v>41341</v>
      </c>
      <c r="AE37" s="670">
        <f t="shared" ca="1" si="5"/>
        <v>850</v>
      </c>
      <c r="AF37" s="639" t="s">
        <v>96</v>
      </c>
    </row>
    <row r="38" spans="1:33" s="671" customFormat="1" ht="38.25" x14ac:dyDescent="0.2">
      <c r="A38" s="705" t="s">
        <v>1316</v>
      </c>
      <c r="B38" s="639" t="s">
        <v>1317</v>
      </c>
      <c r="C38" s="639" t="s">
        <v>1290</v>
      </c>
      <c r="D38" s="661" t="s">
        <v>1267</v>
      </c>
      <c r="E38" s="661" t="s">
        <v>1665</v>
      </c>
      <c r="F38" s="684" t="s">
        <v>1889</v>
      </c>
      <c r="G38" s="702">
        <v>4199.74</v>
      </c>
      <c r="H38" s="702">
        <v>4101.6400000000003</v>
      </c>
      <c r="I38" s="702">
        <v>4101.6400000000003</v>
      </c>
      <c r="J38" s="702">
        <v>4117.45</v>
      </c>
      <c r="K38" s="702">
        <v>4117.45</v>
      </c>
      <c r="L38" s="702">
        <v>4117.45</v>
      </c>
      <c r="M38" s="702">
        <v>4201.16</v>
      </c>
      <c r="N38" s="702">
        <v>4117.45</v>
      </c>
      <c r="O38" s="702">
        <v>0</v>
      </c>
      <c r="P38" s="702">
        <f>4117.45+4117.45</f>
        <v>8234.9</v>
      </c>
      <c r="Q38" s="702">
        <v>4231.47</v>
      </c>
      <c r="R38" s="702">
        <v>4117.45</v>
      </c>
      <c r="S38" s="663">
        <f t="shared" si="2"/>
        <v>49657.8</v>
      </c>
      <c r="T38" s="701">
        <f t="shared" ca="1" si="6"/>
        <v>-1070</v>
      </c>
      <c r="U38" s="664">
        <v>43312</v>
      </c>
      <c r="V38" s="665" t="s">
        <v>1883</v>
      </c>
      <c r="W38" s="666" t="s">
        <v>1378</v>
      </c>
      <c r="X38" s="667"/>
      <c r="Y38" s="667"/>
      <c r="Z38" s="667"/>
      <c r="AA38" s="667"/>
      <c r="AB38" s="667"/>
      <c r="AC38" s="668"/>
      <c r="AD38" s="669">
        <v>41486</v>
      </c>
      <c r="AE38" s="670">
        <f t="shared" ca="1" si="5"/>
        <v>705</v>
      </c>
      <c r="AF38" s="639" t="s">
        <v>41</v>
      </c>
    </row>
    <row r="39" spans="1:33" s="671" customFormat="1" ht="63.75" x14ac:dyDescent="0.2">
      <c r="A39" s="705" t="s">
        <v>1720</v>
      </c>
      <c r="B39" s="639" t="s">
        <v>1612</v>
      </c>
      <c r="C39" s="639"/>
      <c r="D39" s="661" t="s">
        <v>1272</v>
      </c>
      <c r="E39" s="661" t="s">
        <v>1273</v>
      </c>
      <c r="F39" s="684">
        <v>117808.32000000001</v>
      </c>
      <c r="G39" s="702">
        <v>0</v>
      </c>
      <c r="H39" s="702">
        <f>9400.73+9325.67</f>
        <v>18726.400000000001</v>
      </c>
      <c r="I39" s="702">
        <f>8387.86+10986.55</f>
        <v>19374.41</v>
      </c>
      <c r="J39" s="702">
        <v>9406.89</v>
      </c>
      <c r="K39" s="702">
        <v>11571.13</v>
      </c>
      <c r="L39" s="702">
        <v>7391.35</v>
      </c>
      <c r="M39" s="702">
        <v>9267.6200000000008</v>
      </c>
      <c r="N39" s="702">
        <v>5972.46</v>
      </c>
      <c r="O39" s="702">
        <v>0</v>
      </c>
      <c r="P39" s="702">
        <v>0</v>
      </c>
      <c r="Q39" s="702">
        <v>0</v>
      </c>
      <c r="R39" s="702">
        <v>0</v>
      </c>
      <c r="S39" s="663">
        <f t="shared" si="2"/>
        <v>81710.259999999995</v>
      </c>
      <c r="T39" s="701">
        <f t="shared" ca="1" si="6"/>
        <v>-2166</v>
      </c>
      <c r="U39" s="664">
        <v>42216</v>
      </c>
      <c r="V39" s="665" t="s">
        <v>1696</v>
      </c>
      <c r="W39" s="666" t="s">
        <v>1377</v>
      </c>
      <c r="X39" s="667"/>
      <c r="Y39" s="667"/>
      <c r="Z39" s="667"/>
      <c r="AA39" s="667"/>
      <c r="AB39" s="667"/>
      <c r="AC39" s="668">
        <v>42163</v>
      </c>
      <c r="AD39" s="669">
        <v>41487</v>
      </c>
      <c r="AE39" s="670">
        <f t="shared" ca="1" si="5"/>
        <v>704</v>
      </c>
      <c r="AF39" s="639"/>
    </row>
    <row r="40" spans="1:33" s="671" customFormat="1" ht="38.25" x14ac:dyDescent="0.2">
      <c r="A40" s="705" t="s">
        <v>1277</v>
      </c>
      <c r="B40" s="639" t="s">
        <v>1309</v>
      </c>
      <c r="C40" s="639" t="s">
        <v>1290</v>
      </c>
      <c r="D40" s="661" t="s">
        <v>1282</v>
      </c>
      <c r="E40" s="661" t="s">
        <v>1621</v>
      </c>
      <c r="F40" s="684">
        <v>594446.28</v>
      </c>
      <c r="G40" s="702">
        <f>16138.4+46305.22</f>
        <v>62443.62</v>
      </c>
      <c r="H40" s="702">
        <v>46305.22</v>
      </c>
      <c r="I40" s="702">
        <v>46305.22</v>
      </c>
      <c r="J40" s="702">
        <v>46305.22</v>
      </c>
      <c r="K40" s="702">
        <v>46305.22</v>
      </c>
      <c r="L40" s="702">
        <v>46305.22</v>
      </c>
      <c r="M40" s="702">
        <v>46305.22</v>
      </c>
      <c r="N40" s="702">
        <v>46305.22</v>
      </c>
      <c r="O40" s="702">
        <v>46305.22</v>
      </c>
      <c r="P40" s="702">
        <v>46305.22</v>
      </c>
      <c r="Q40" s="702">
        <v>46305.22</v>
      </c>
      <c r="R40" s="702">
        <f>46305.22+16159.85</f>
        <v>62465.07</v>
      </c>
      <c r="S40" s="663">
        <f>SUM(G40:R40)</f>
        <v>587960.88999999978</v>
      </c>
      <c r="T40" s="701">
        <f t="shared" ca="1" si="6"/>
        <v>-1407</v>
      </c>
      <c r="U40" s="664">
        <v>42975</v>
      </c>
      <c r="V40" s="665" t="s">
        <v>1975</v>
      </c>
      <c r="W40" s="666" t="s">
        <v>1310</v>
      </c>
      <c r="X40" s="667"/>
      <c r="Y40" s="667"/>
      <c r="Z40" s="667"/>
      <c r="AA40" s="667"/>
      <c r="AB40" s="667"/>
      <c r="AC40" s="668"/>
      <c r="AD40" s="669">
        <v>41515</v>
      </c>
      <c r="AE40" s="670">
        <f t="shared" ca="1" si="5"/>
        <v>676</v>
      </c>
      <c r="AF40" s="639" t="s">
        <v>41</v>
      </c>
    </row>
    <row r="41" spans="1:33" s="587" customFormat="1" ht="26.25" x14ac:dyDescent="0.25">
      <c r="A41" s="660" t="s">
        <v>1721</v>
      </c>
      <c r="B41" s="639" t="s">
        <v>1567</v>
      </c>
      <c r="C41" s="639"/>
      <c r="D41" s="661" t="s">
        <v>1342</v>
      </c>
      <c r="E41" s="661" t="s">
        <v>1343</v>
      </c>
      <c r="F41" s="704">
        <v>41030.28</v>
      </c>
      <c r="G41" s="702">
        <v>10796.66</v>
      </c>
      <c r="H41" s="702">
        <v>15272.74</v>
      </c>
      <c r="I41" s="702">
        <v>9364.43</v>
      </c>
      <c r="J41" s="702">
        <v>9658.7999999999993</v>
      </c>
      <c r="K41" s="702">
        <v>14954.02</v>
      </c>
      <c r="L41" s="702">
        <v>10782.04</v>
      </c>
      <c r="M41" s="702">
        <v>12407.98</v>
      </c>
      <c r="N41" s="702">
        <v>10474.82</v>
      </c>
      <c r="O41" s="702">
        <v>7891.4</v>
      </c>
      <c r="P41" s="702">
        <v>19801.740000000002</v>
      </c>
      <c r="Q41" s="702">
        <v>13205.04</v>
      </c>
      <c r="R41" s="702">
        <v>15828.47</v>
      </c>
      <c r="S41" s="663">
        <f>SUM(G41:R41)</f>
        <v>150438.13999999998</v>
      </c>
      <c r="T41" s="701">
        <f t="shared" ca="1" si="6"/>
        <v>-1871</v>
      </c>
      <c r="U41" s="664">
        <v>42511</v>
      </c>
      <c r="V41" s="665" t="s">
        <v>1789</v>
      </c>
      <c r="W41" s="666" t="s">
        <v>840</v>
      </c>
      <c r="X41" s="667"/>
      <c r="Y41" s="667"/>
      <c r="Z41" s="667"/>
      <c r="AA41" s="667"/>
      <c r="AB41" s="667"/>
      <c r="AC41" s="668">
        <v>42452</v>
      </c>
      <c r="AD41" s="669">
        <v>41415</v>
      </c>
      <c r="AE41" s="670">
        <f ca="1">TODAY()-DATE(YEAR(AD41)+6,MONTH(AD41),DAY(AD41))</f>
        <v>776</v>
      </c>
      <c r="AF41" s="639" t="s">
        <v>29</v>
      </c>
      <c r="AG41" s="710"/>
    </row>
    <row r="42" spans="1:33" s="541" customFormat="1" ht="38.25" x14ac:dyDescent="0.2">
      <c r="A42" s="339" t="s">
        <v>1753</v>
      </c>
      <c r="B42" s="619" t="s">
        <v>1384</v>
      </c>
      <c r="C42" s="339" t="s">
        <v>772</v>
      </c>
      <c r="D42" s="340" t="s">
        <v>1381</v>
      </c>
      <c r="E42" s="340" t="s">
        <v>1351</v>
      </c>
      <c r="F42" s="365">
        <v>256181.76000000001</v>
      </c>
      <c r="G42" s="673">
        <v>12744.61</v>
      </c>
      <c r="H42" s="673">
        <v>12683.05</v>
      </c>
      <c r="I42" s="673">
        <v>12409.08</v>
      </c>
      <c r="J42" s="673">
        <v>12758.68</v>
      </c>
      <c r="K42" s="673">
        <v>12108.46</v>
      </c>
      <c r="L42" s="673">
        <v>12137.98</v>
      </c>
      <c r="M42" s="673">
        <v>10908.45</v>
      </c>
      <c r="N42" s="673">
        <v>11309.21</v>
      </c>
      <c r="O42" s="673">
        <v>11452.83</v>
      </c>
      <c r="P42" s="673">
        <v>9311.9</v>
      </c>
      <c r="Q42" s="673">
        <v>9158.0300000000007</v>
      </c>
      <c r="R42" s="673">
        <v>9277.17</v>
      </c>
      <c r="S42" s="656">
        <f>SUM(G42:R42)</f>
        <v>136259.44999999998</v>
      </c>
      <c r="T42" s="610">
        <f t="shared" ca="1" si="6"/>
        <v>-1374</v>
      </c>
      <c r="U42" s="611">
        <v>43008</v>
      </c>
      <c r="V42" s="345" t="s">
        <v>1942</v>
      </c>
      <c r="W42" s="612" t="s">
        <v>751</v>
      </c>
      <c r="X42" s="613"/>
      <c r="Y42" s="613"/>
      <c r="Z42" s="613"/>
      <c r="AA42" s="613"/>
      <c r="AB42" s="613"/>
      <c r="AC42" s="616"/>
      <c r="AD42" s="346">
        <v>41548</v>
      </c>
      <c r="AE42" s="614">
        <f ca="1">TODAY()-DATE(YEAR(AD42)+6,MONTH(AD42),DAY(AD42))</f>
        <v>643</v>
      </c>
      <c r="AF42" s="339" t="s">
        <v>96</v>
      </c>
    </row>
    <row r="43" spans="1:33" s="541" customFormat="1" ht="76.5" x14ac:dyDescent="0.2">
      <c r="A43" s="339" t="s">
        <v>1437</v>
      </c>
      <c r="B43" s="339"/>
      <c r="C43" s="649" t="s">
        <v>1432</v>
      </c>
      <c r="D43" s="650" t="s">
        <v>1433</v>
      </c>
      <c r="E43" s="340" t="s">
        <v>1624</v>
      </c>
      <c r="F43" s="651">
        <v>0</v>
      </c>
      <c r="G43" s="673">
        <v>0</v>
      </c>
      <c r="H43" s="673">
        <v>0</v>
      </c>
      <c r="I43" s="673">
        <v>0</v>
      </c>
      <c r="J43" s="673">
        <v>0</v>
      </c>
      <c r="K43" s="673">
        <v>0</v>
      </c>
      <c r="L43" s="673">
        <v>0</v>
      </c>
      <c r="M43" s="673">
        <v>0</v>
      </c>
      <c r="N43" s="673">
        <v>0</v>
      </c>
      <c r="O43" s="673">
        <v>0</v>
      </c>
      <c r="P43" s="673">
        <v>0</v>
      </c>
      <c r="Q43" s="673">
        <v>0</v>
      </c>
      <c r="R43" s="673">
        <v>0</v>
      </c>
      <c r="S43" s="656">
        <f t="shared" si="2"/>
        <v>0</v>
      </c>
      <c r="T43" s="610">
        <f t="shared" ca="1" si="6"/>
        <v>-1693</v>
      </c>
      <c r="U43" s="611">
        <v>42689</v>
      </c>
      <c r="V43" s="615" t="s">
        <v>1782</v>
      </c>
      <c r="W43" s="612"/>
      <c r="X43" s="613"/>
      <c r="Y43" s="613"/>
      <c r="Z43" s="613"/>
      <c r="AA43" s="613"/>
      <c r="AB43" s="613"/>
      <c r="AC43" s="616">
        <v>42646</v>
      </c>
      <c r="AD43" s="346">
        <v>41592</v>
      </c>
      <c r="AE43" s="614">
        <f t="shared" ca="1" si="5"/>
        <v>599</v>
      </c>
      <c r="AF43" s="339" t="s">
        <v>96</v>
      </c>
    </row>
    <row r="44" spans="1:33" s="541" customFormat="1" ht="51" x14ac:dyDescent="0.2">
      <c r="A44" s="339" t="s">
        <v>1639</v>
      </c>
      <c r="B44" s="339" t="s">
        <v>1444</v>
      </c>
      <c r="C44" s="339" t="s">
        <v>37</v>
      </c>
      <c r="D44" s="340" t="s">
        <v>1968</v>
      </c>
      <c r="E44" s="340" t="s">
        <v>1446</v>
      </c>
      <c r="F44" s="365">
        <v>39720.480000000003</v>
      </c>
      <c r="G44" s="673">
        <v>3050.59</v>
      </c>
      <c r="H44" s="673">
        <v>3050.59</v>
      </c>
      <c r="I44" s="673">
        <v>3050.59</v>
      </c>
      <c r="J44" s="673">
        <v>3050.59</v>
      </c>
      <c r="K44" s="673">
        <v>3050.59</v>
      </c>
      <c r="L44" s="673">
        <v>3050.59</v>
      </c>
      <c r="M44" s="673">
        <v>3050.59</v>
      </c>
      <c r="N44" s="673">
        <v>3050.59</v>
      </c>
      <c r="O44" s="673">
        <v>3050.59</v>
      </c>
      <c r="P44" s="673">
        <v>3050.59</v>
      </c>
      <c r="Q44" s="673">
        <v>3050.59</v>
      </c>
      <c r="R44" s="673">
        <v>3050.59</v>
      </c>
      <c r="S44" s="656">
        <f t="shared" si="2"/>
        <v>36607.08</v>
      </c>
      <c r="T44" s="610">
        <f t="shared" ca="1" si="6"/>
        <v>-1312</v>
      </c>
      <c r="U44" s="611">
        <v>43070</v>
      </c>
      <c r="V44" s="345" t="s">
        <v>1969</v>
      </c>
      <c r="W44" s="612"/>
      <c r="X44" s="613"/>
      <c r="Y44" s="613"/>
      <c r="Z44" s="613"/>
      <c r="AA44" s="613"/>
      <c r="AB44" s="613"/>
      <c r="AC44" s="616"/>
      <c r="AD44" s="346">
        <v>41610</v>
      </c>
      <c r="AE44" s="614">
        <f t="shared" ca="1" si="5"/>
        <v>581</v>
      </c>
      <c r="AF44" s="339" t="s">
        <v>96</v>
      </c>
    </row>
    <row r="45" spans="1:33" s="541" customFormat="1" ht="38.25" x14ac:dyDescent="0.2">
      <c r="A45" s="339" t="s">
        <v>1457</v>
      </c>
      <c r="B45" s="339" t="s">
        <v>1458</v>
      </c>
      <c r="C45" s="339" t="s">
        <v>56</v>
      </c>
      <c r="D45" s="340" t="s">
        <v>303</v>
      </c>
      <c r="E45" s="340" t="s">
        <v>1459</v>
      </c>
      <c r="F45" s="365">
        <v>45027.839999999997</v>
      </c>
      <c r="G45" s="673">
        <f>3322.66+1140.22+79.61</f>
        <v>4542.49</v>
      </c>
      <c r="H45" s="673">
        <f>3322.66+1695+79.39</f>
        <v>5097.05</v>
      </c>
      <c r="I45" s="673">
        <f>3322.66+1695+77.12</f>
        <v>5094.78</v>
      </c>
      <c r="J45" s="673">
        <f>3322.66+1695+74.6</f>
        <v>5092.26</v>
      </c>
      <c r="K45" s="673">
        <f>3322.66+1695+75.5</f>
        <v>5093.16</v>
      </c>
      <c r="L45" s="673">
        <f>3322.66+1695+72.34</f>
        <v>5090</v>
      </c>
      <c r="M45" s="673">
        <f>3322.66+1695+74.41</f>
        <v>5092.07</v>
      </c>
      <c r="N45" s="673">
        <f>3322.66+1705.62+70.86</f>
        <v>5099.1399999999994</v>
      </c>
      <c r="O45" s="673">
        <f>3322.66+1714.55+70.2</f>
        <v>5107.41</v>
      </c>
      <c r="P45" s="673">
        <f>3322.66+1718.66</f>
        <v>5041.32</v>
      </c>
      <c r="Q45" s="673">
        <f>3322.66+1728.95+68.73</f>
        <v>5120.3399999999992</v>
      </c>
      <c r="R45" s="673">
        <f>3322.66+1744.09+67.68</f>
        <v>5134.43</v>
      </c>
      <c r="S45" s="656">
        <f t="shared" si="2"/>
        <v>60604.45</v>
      </c>
      <c r="T45" s="610">
        <f t="shared" ca="1" si="6"/>
        <v>-1470</v>
      </c>
      <c r="U45" s="611">
        <v>42912</v>
      </c>
      <c r="V45" s="615" t="s">
        <v>1885</v>
      </c>
      <c r="W45" s="612"/>
      <c r="X45" s="613"/>
      <c r="Y45" s="613"/>
      <c r="Z45" s="613"/>
      <c r="AA45" s="613"/>
      <c r="AB45" s="613"/>
      <c r="AC45" s="616"/>
      <c r="AD45" s="346">
        <v>41451</v>
      </c>
      <c r="AE45" s="614">
        <f t="shared" ca="1" si="5"/>
        <v>740</v>
      </c>
      <c r="AF45" s="339" t="s">
        <v>169</v>
      </c>
    </row>
    <row r="46" spans="1:33" s="541" customFormat="1" ht="38.25" customHeight="1" x14ac:dyDescent="0.2">
      <c r="A46" s="339" t="s">
        <v>1464</v>
      </c>
      <c r="B46" s="339" t="s">
        <v>1428</v>
      </c>
      <c r="C46" s="339" t="s">
        <v>56</v>
      </c>
      <c r="D46" s="340" t="s">
        <v>333</v>
      </c>
      <c r="E46" s="340" t="s">
        <v>1538</v>
      </c>
      <c r="F46" s="365">
        <v>4147.2</v>
      </c>
      <c r="G46" s="673">
        <v>0</v>
      </c>
      <c r="H46" s="673">
        <v>0</v>
      </c>
      <c r="I46" s="673">
        <v>0</v>
      </c>
      <c r="J46" s="673">
        <v>0</v>
      </c>
      <c r="K46" s="673">
        <v>0</v>
      </c>
      <c r="L46" s="673">
        <v>0</v>
      </c>
      <c r="M46" s="673">
        <v>0</v>
      </c>
      <c r="N46" s="673">
        <v>0</v>
      </c>
      <c r="O46" s="673">
        <v>0</v>
      </c>
      <c r="P46" s="673">
        <v>0</v>
      </c>
      <c r="Q46" s="673">
        <v>0</v>
      </c>
      <c r="R46" s="673">
        <v>0</v>
      </c>
      <c r="S46" s="656">
        <f t="shared" si="2"/>
        <v>0</v>
      </c>
      <c r="T46" s="610">
        <f t="shared" ca="1" si="6"/>
        <v>-2035</v>
      </c>
      <c r="U46" s="611">
        <v>42347</v>
      </c>
      <c r="V46" s="615" t="s">
        <v>1467</v>
      </c>
      <c r="W46" s="652" t="s">
        <v>1755</v>
      </c>
      <c r="X46" s="613"/>
      <c r="Y46" s="613"/>
      <c r="Z46" s="613"/>
      <c r="AA46" s="613"/>
      <c r="AB46" s="613"/>
      <c r="AC46" s="616">
        <v>42303</v>
      </c>
      <c r="AD46" s="346">
        <v>41618</v>
      </c>
      <c r="AE46" s="614">
        <f t="shared" ca="1" si="5"/>
        <v>573</v>
      </c>
      <c r="AF46" s="339" t="s">
        <v>41</v>
      </c>
    </row>
    <row r="47" spans="1:33" s="308" customFormat="1" ht="51" x14ac:dyDescent="0.2">
      <c r="A47" s="646" t="s">
        <v>1703</v>
      </c>
      <c r="B47" s="339" t="s">
        <v>1428</v>
      </c>
      <c r="C47" s="339" t="s">
        <v>56</v>
      </c>
      <c r="D47" s="340" t="s">
        <v>212</v>
      </c>
      <c r="E47" s="340" t="s">
        <v>1514</v>
      </c>
      <c r="F47" s="365">
        <v>9219.31</v>
      </c>
      <c r="G47" s="673">
        <v>685.41</v>
      </c>
      <c r="H47" s="673">
        <v>685.41</v>
      </c>
      <c r="I47" s="673">
        <v>685.41</v>
      </c>
      <c r="J47" s="673">
        <v>768.28</v>
      </c>
      <c r="K47" s="673">
        <v>768.28</v>
      </c>
      <c r="L47" s="673">
        <v>768.28</v>
      </c>
      <c r="M47" s="673">
        <v>768.28</v>
      </c>
      <c r="N47" s="673">
        <v>768.28</v>
      </c>
      <c r="O47" s="673">
        <v>768.28</v>
      </c>
      <c r="P47" s="673">
        <v>768.28</v>
      </c>
      <c r="Q47" s="673">
        <v>768.28</v>
      </c>
      <c r="R47" s="673">
        <v>768.28</v>
      </c>
      <c r="S47" s="656">
        <f t="shared" si="2"/>
        <v>8970.75</v>
      </c>
      <c r="T47" s="610">
        <f t="shared" ca="1" si="6"/>
        <v>-1557</v>
      </c>
      <c r="U47" s="611">
        <v>42825</v>
      </c>
      <c r="V47" s="345" t="s">
        <v>1866</v>
      </c>
      <c r="W47" s="612"/>
      <c r="X47" s="613"/>
      <c r="Y47" s="613"/>
      <c r="Z47" s="613"/>
      <c r="AA47" s="613"/>
      <c r="AB47" s="613"/>
      <c r="AC47" s="616"/>
      <c r="AD47" s="346">
        <v>41729</v>
      </c>
      <c r="AE47" s="614">
        <f t="shared" ca="1" si="5"/>
        <v>461</v>
      </c>
      <c r="AF47" s="339" t="s">
        <v>48</v>
      </c>
    </row>
    <row r="48" spans="1:33" s="311" customFormat="1" ht="76.5" x14ac:dyDescent="0.2">
      <c r="A48" s="675" t="s">
        <v>1704</v>
      </c>
      <c r="B48" s="339"/>
      <c r="C48" s="339"/>
      <c r="D48" s="340" t="s">
        <v>1661</v>
      </c>
      <c r="E48" s="340" t="s">
        <v>1516</v>
      </c>
      <c r="F48" s="365">
        <v>121050</v>
      </c>
      <c r="G48" s="673">
        <v>0</v>
      </c>
      <c r="H48" s="673">
        <v>5965.55</v>
      </c>
      <c r="I48" s="673">
        <v>0</v>
      </c>
      <c r="J48" s="673">
        <v>1370.1299999999999</v>
      </c>
      <c r="K48" s="673">
        <v>2662.01</v>
      </c>
      <c r="L48" s="673">
        <v>5628.68</v>
      </c>
      <c r="M48" s="673">
        <v>992.9</v>
      </c>
      <c r="N48" s="673">
        <v>0</v>
      </c>
      <c r="O48" s="673">
        <v>1370.13</v>
      </c>
      <c r="P48" s="673">
        <v>0</v>
      </c>
      <c r="Q48" s="673">
        <v>12640.91</v>
      </c>
      <c r="R48" s="673">
        <v>6163.09</v>
      </c>
      <c r="S48" s="656">
        <f t="shared" si="2"/>
        <v>36793.4</v>
      </c>
      <c r="T48" s="610">
        <f t="shared" ca="1" si="6"/>
        <v>-1561</v>
      </c>
      <c r="U48" s="611">
        <v>42821</v>
      </c>
      <c r="V48" s="345" t="s">
        <v>1865</v>
      </c>
      <c r="W48" s="612"/>
      <c r="X48" s="613"/>
      <c r="Y48" s="613"/>
      <c r="Z48" s="613"/>
      <c r="AA48" s="613"/>
      <c r="AB48" s="613"/>
      <c r="AC48" s="616"/>
      <c r="AD48" s="346">
        <v>41726</v>
      </c>
      <c r="AE48" s="614">
        <f t="shared" ca="1" si="5"/>
        <v>464</v>
      </c>
      <c r="AF48" s="339" t="s">
        <v>48</v>
      </c>
    </row>
    <row r="49" spans="1:32" s="308" customFormat="1" ht="38.25" customHeight="1" x14ac:dyDescent="0.2">
      <c r="A49" s="646" t="s">
        <v>1546</v>
      </c>
      <c r="B49" s="339" t="s">
        <v>1522</v>
      </c>
      <c r="C49" s="339"/>
      <c r="D49" s="340" t="s">
        <v>1523</v>
      </c>
      <c r="E49" s="340" t="s">
        <v>1524</v>
      </c>
      <c r="F49" s="653">
        <v>0</v>
      </c>
      <c r="G49" s="673">
        <v>0</v>
      </c>
      <c r="H49" s="673">
        <v>0</v>
      </c>
      <c r="I49" s="673">
        <v>0</v>
      </c>
      <c r="J49" s="673">
        <v>0</v>
      </c>
      <c r="K49" s="673">
        <v>0</v>
      </c>
      <c r="L49" s="673">
        <v>0</v>
      </c>
      <c r="M49" s="673">
        <v>0</v>
      </c>
      <c r="N49" s="673">
        <v>0</v>
      </c>
      <c r="O49" s="673">
        <v>0</v>
      </c>
      <c r="P49" s="673">
        <v>0</v>
      </c>
      <c r="Q49" s="673">
        <v>0</v>
      </c>
      <c r="R49" s="673">
        <v>0</v>
      </c>
      <c r="S49" s="656">
        <f t="shared" si="2"/>
        <v>0</v>
      </c>
      <c r="T49" s="610">
        <f t="shared" ca="1" si="6"/>
        <v>-1543</v>
      </c>
      <c r="U49" s="611">
        <v>42839</v>
      </c>
      <c r="V49" s="345" t="s">
        <v>1871</v>
      </c>
      <c r="W49" s="612"/>
      <c r="X49" s="613"/>
      <c r="Y49" s="613"/>
      <c r="Z49" s="613"/>
      <c r="AA49" s="613"/>
      <c r="AB49" s="613"/>
      <c r="AC49" s="616"/>
      <c r="AD49" s="346">
        <v>41743</v>
      </c>
      <c r="AE49" s="614">
        <f t="shared" ca="1" si="5"/>
        <v>447</v>
      </c>
      <c r="AF49" s="339" t="s">
        <v>649</v>
      </c>
    </row>
    <row r="50" spans="1:32" s="311" customFormat="1" ht="51" x14ac:dyDescent="0.2">
      <c r="A50" s="675" t="s">
        <v>1552</v>
      </c>
      <c r="B50" s="339" t="s">
        <v>1428</v>
      </c>
      <c r="C50" s="339" t="s">
        <v>56</v>
      </c>
      <c r="D50" s="340" t="s">
        <v>62</v>
      </c>
      <c r="E50" s="340" t="s">
        <v>1553</v>
      </c>
      <c r="F50" s="365">
        <v>10176.24</v>
      </c>
      <c r="G50" s="673">
        <v>772.19</v>
      </c>
      <c r="H50" s="673">
        <v>772.19</v>
      </c>
      <c r="I50" s="673">
        <v>772.19</v>
      </c>
      <c r="J50" s="673">
        <v>772.19</v>
      </c>
      <c r="K50" s="673">
        <v>772.19</v>
      </c>
      <c r="L50" s="673">
        <v>772.19</v>
      </c>
      <c r="M50" s="673">
        <v>772.19</v>
      </c>
      <c r="N50" s="673">
        <v>849.99</v>
      </c>
      <c r="O50" s="673">
        <v>849.99</v>
      </c>
      <c r="P50" s="673">
        <f>848.02+2889.67</f>
        <v>3737.69</v>
      </c>
      <c r="Q50" s="673">
        <v>848.02</v>
      </c>
      <c r="R50" s="673">
        <v>848.02</v>
      </c>
      <c r="S50" s="656">
        <f t="shared" si="2"/>
        <v>12539.04</v>
      </c>
      <c r="T50" s="610">
        <f t="shared" ca="1" si="6"/>
        <v>-1476</v>
      </c>
      <c r="U50" s="611">
        <v>42906</v>
      </c>
      <c r="V50" s="345" t="s">
        <v>1884</v>
      </c>
      <c r="W50" s="612"/>
      <c r="X50" s="613"/>
      <c r="Y50" s="613"/>
      <c r="Z50" s="613"/>
      <c r="AA50" s="613"/>
      <c r="AB50" s="613"/>
      <c r="AC50" s="616"/>
      <c r="AD50" s="346">
        <v>41811</v>
      </c>
      <c r="AE50" s="614">
        <f t="shared" ca="1" si="5"/>
        <v>379</v>
      </c>
      <c r="AF50" s="339" t="s">
        <v>48</v>
      </c>
    </row>
    <row r="51" spans="1:32" s="311" customFormat="1" ht="38.25" x14ac:dyDescent="0.2">
      <c r="A51" s="646" t="s">
        <v>1558</v>
      </c>
      <c r="B51" s="339" t="s">
        <v>1700</v>
      </c>
      <c r="C51" s="339" t="s">
        <v>617</v>
      </c>
      <c r="D51" s="340" t="s">
        <v>618</v>
      </c>
      <c r="E51" s="340" t="s">
        <v>1559</v>
      </c>
      <c r="F51" s="365">
        <v>69983.28</v>
      </c>
      <c r="G51" s="673">
        <v>6849.25</v>
      </c>
      <c r="H51" s="673">
        <v>6849.25</v>
      </c>
      <c r="I51" s="673">
        <v>7214.79</v>
      </c>
      <c r="J51" s="673">
        <v>7542.11</v>
      </c>
      <c r="K51" s="673">
        <v>7225.57</v>
      </c>
      <c r="L51" s="673">
        <v>6849.45</v>
      </c>
      <c r="M51" s="673">
        <v>6969.79</v>
      </c>
      <c r="N51" s="673">
        <v>5381</v>
      </c>
      <c r="O51" s="673">
        <v>5745.07</v>
      </c>
      <c r="P51" s="673">
        <v>5888.15</v>
      </c>
      <c r="Q51" s="673">
        <v>5381</v>
      </c>
      <c r="R51" s="673">
        <v>5381</v>
      </c>
      <c r="S51" s="656">
        <f t="shared" si="2"/>
        <v>77276.429999999993</v>
      </c>
      <c r="T51" s="610">
        <f t="shared" ca="1" si="6"/>
        <v>-1467</v>
      </c>
      <c r="U51" s="611">
        <v>42915</v>
      </c>
      <c r="V51" s="345" t="s">
        <v>1894</v>
      </c>
      <c r="W51" s="612"/>
      <c r="X51" s="613"/>
      <c r="Y51" s="613"/>
      <c r="Z51" s="613"/>
      <c r="AA51" s="613"/>
      <c r="AB51" s="613"/>
      <c r="AC51" s="616"/>
      <c r="AD51" s="346">
        <v>41820</v>
      </c>
      <c r="AE51" s="614">
        <f t="shared" ca="1" si="5"/>
        <v>370</v>
      </c>
      <c r="AF51" s="339" t="s">
        <v>41</v>
      </c>
    </row>
    <row r="52" spans="1:32" s="311" customFormat="1" ht="38.25" x14ac:dyDescent="0.2">
      <c r="A52" s="675" t="s">
        <v>1569</v>
      </c>
      <c r="B52" s="339" t="s">
        <v>1428</v>
      </c>
      <c r="C52" s="339" t="s">
        <v>56</v>
      </c>
      <c r="D52" s="340" t="s">
        <v>1487</v>
      </c>
      <c r="E52" s="340" t="s">
        <v>1570</v>
      </c>
      <c r="F52" s="365">
        <v>9336</v>
      </c>
      <c r="G52" s="673">
        <v>650</v>
      </c>
      <c r="H52" s="673">
        <v>650</v>
      </c>
      <c r="I52" s="673">
        <v>650</v>
      </c>
      <c r="J52" s="673">
        <v>650</v>
      </c>
      <c r="K52" s="673">
        <v>650</v>
      </c>
      <c r="L52" s="673">
        <v>650</v>
      </c>
      <c r="M52" s="673">
        <v>650</v>
      </c>
      <c r="N52" s="673">
        <v>778</v>
      </c>
      <c r="O52" s="673">
        <v>778</v>
      </c>
      <c r="P52" s="673">
        <v>778</v>
      </c>
      <c r="Q52" s="673">
        <v>778</v>
      </c>
      <c r="R52" s="673">
        <v>778</v>
      </c>
      <c r="S52" s="656">
        <f t="shared" si="2"/>
        <v>8440</v>
      </c>
      <c r="T52" s="610">
        <f t="shared" ca="1" si="6"/>
        <v>-1450</v>
      </c>
      <c r="U52" s="611">
        <v>42932</v>
      </c>
      <c r="V52" s="345" t="s">
        <v>1909</v>
      </c>
      <c r="W52" s="612"/>
      <c r="X52" s="613"/>
      <c r="Y52" s="613"/>
      <c r="Z52" s="613"/>
      <c r="AA52" s="613"/>
      <c r="AB52" s="613"/>
      <c r="AC52" s="616"/>
      <c r="AD52" s="346">
        <v>41837</v>
      </c>
      <c r="AE52" s="614">
        <f t="shared" ca="1" si="5"/>
        <v>353</v>
      </c>
      <c r="AF52" s="339" t="s">
        <v>48</v>
      </c>
    </row>
    <row r="53" spans="1:32" s="541" customFormat="1" ht="51" x14ac:dyDescent="0.2">
      <c r="A53" s="646" t="s">
        <v>1581</v>
      </c>
      <c r="B53" s="339"/>
      <c r="C53" s="339"/>
      <c r="D53" s="340" t="s">
        <v>586</v>
      </c>
      <c r="E53" s="340" t="s">
        <v>1582</v>
      </c>
      <c r="F53" s="365">
        <v>1792436.69</v>
      </c>
      <c r="G53" s="673">
        <v>135077.56</v>
      </c>
      <c r="H53" s="673">
        <v>134278.56</v>
      </c>
      <c r="I53" s="673">
        <v>133479.56</v>
      </c>
      <c r="J53" s="673">
        <v>136197.62</v>
      </c>
      <c r="K53" s="673">
        <v>136352.10999999999</v>
      </c>
      <c r="L53" s="673">
        <v>133809.88</v>
      </c>
      <c r="M53" s="673">
        <v>133479.56</v>
      </c>
      <c r="N53" s="673">
        <v>131551.23000000001</v>
      </c>
      <c r="O53" s="673">
        <v>135425.89000000001</v>
      </c>
      <c r="P53" s="673">
        <v>129005.94</v>
      </c>
      <c r="Q53" s="673">
        <f>28033.76+132156.06</f>
        <v>160189.82</v>
      </c>
      <c r="R53" s="673">
        <f>58007.06+129744.9+12044.2</f>
        <v>199796.16</v>
      </c>
      <c r="S53" s="656">
        <f t="shared" si="2"/>
        <v>1698643.8900000001</v>
      </c>
      <c r="T53" s="610">
        <f t="shared" ca="1" si="6"/>
        <v>-1421</v>
      </c>
      <c r="U53" s="611">
        <v>42961</v>
      </c>
      <c r="V53" s="345" t="s">
        <v>1974</v>
      </c>
      <c r="W53" s="612"/>
      <c r="X53" s="613"/>
      <c r="Y53" s="613"/>
      <c r="Z53" s="613"/>
      <c r="AA53" s="613"/>
      <c r="AB53" s="613"/>
      <c r="AC53" s="616"/>
      <c r="AD53" s="346">
        <v>41897</v>
      </c>
      <c r="AE53" s="614">
        <f t="shared" ca="1" si="5"/>
        <v>293</v>
      </c>
      <c r="AF53" s="339" t="s">
        <v>96</v>
      </c>
    </row>
    <row r="54" spans="1:32" s="541" customFormat="1" ht="38.25" customHeight="1" x14ac:dyDescent="0.2">
      <c r="A54" s="646" t="s">
        <v>1592</v>
      </c>
      <c r="B54" s="339" t="s">
        <v>1593</v>
      </c>
      <c r="C54" s="339"/>
      <c r="D54" s="340" t="s">
        <v>1594</v>
      </c>
      <c r="E54" s="340" t="s">
        <v>1702</v>
      </c>
      <c r="F54" s="365">
        <v>23688</v>
      </c>
      <c r="G54" s="673">
        <v>0</v>
      </c>
      <c r="H54" s="673">
        <v>0</v>
      </c>
      <c r="I54" s="673">
        <v>0</v>
      </c>
      <c r="J54" s="673">
        <v>0</v>
      </c>
      <c r="K54" s="673">
        <v>0</v>
      </c>
      <c r="L54" s="673">
        <v>0</v>
      </c>
      <c r="M54" s="673">
        <v>0</v>
      </c>
      <c r="N54" s="673">
        <v>0</v>
      </c>
      <c r="O54" s="673">
        <v>0</v>
      </c>
      <c r="P54" s="673">
        <v>0</v>
      </c>
      <c r="Q54" s="673">
        <v>0</v>
      </c>
      <c r="R54" s="673">
        <v>0</v>
      </c>
      <c r="S54" s="656">
        <f t="shared" si="2"/>
        <v>0</v>
      </c>
      <c r="T54" s="610">
        <f t="shared" ca="1" si="6"/>
        <v>-1369</v>
      </c>
      <c r="U54" s="611">
        <v>43013</v>
      </c>
      <c r="V54" s="615" t="s">
        <v>1596</v>
      </c>
      <c r="W54" s="612"/>
      <c r="X54" s="613"/>
      <c r="Y54" s="613"/>
      <c r="Z54" s="613"/>
      <c r="AA54" s="613"/>
      <c r="AB54" s="613"/>
      <c r="AC54" s="616"/>
      <c r="AD54" s="346">
        <v>41918</v>
      </c>
      <c r="AE54" s="614">
        <f t="shared" ca="1" si="5"/>
        <v>272</v>
      </c>
      <c r="AF54" s="339" t="s">
        <v>41</v>
      </c>
    </row>
    <row r="55" spans="1:32" s="541" customFormat="1" ht="42" customHeight="1" x14ac:dyDescent="0.2">
      <c r="A55" s="646" t="s">
        <v>1600</v>
      </c>
      <c r="B55" s="339"/>
      <c r="C55" s="339"/>
      <c r="D55" s="340" t="s">
        <v>1601</v>
      </c>
      <c r="E55" s="340" t="s">
        <v>1602</v>
      </c>
      <c r="F55" s="365">
        <v>10160</v>
      </c>
      <c r="G55" s="673">
        <v>0</v>
      </c>
      <c r="H55" s="673">
        <v>899.66</v>
      </c>
      <c r="I55" s="673">
        <v>899.66</v>
      </c>
      <c r="J55" s="673">
        <v>892.46</v>
      </c>
      <c r="K55" s="673">
        <v>899.66</v>
      </c>
      <c r="L55" s="673">
        <v>885.26</v>
      </c>
      <c r="M55" s="673">
        <v>870.87</v>
      </c>
      <c r="N55" s="673">
        <v>870.87</v>
      </c>
      <c r="O55" s="673">
        <v>885.26</v>
      </c>
      <c r="P55" s="673">
        <v>777.3</v>
      </c>
      <c r="Q55" s="673">
        <v>777.3</v>
      </c>
      <c r="R55" s="673">
        <v>777.3</v>
      </c>
      <c r="S55" s="656">
        <f t="shared" si="2"/>
        <v>9435.5999999999985</v>
      </c>
      <c r="T55" s="610">
        <f t="shared" ca="1" si="6"/>
        <v>-1363</v>
      </c>
      <c r="U55" s="611">
        <v>43019</v>
      </c>
      <c r="V55" s="345" t="s">
        <v>1944</v>
      </c>
      <c r="W55" s="654"/>
      <c r="X55" s="613"/>
      <c r="Y55" s="613"/>
      <c r="Z55" s="613"/>
      <c r="AA55" s="613"/>
      <c r="AB55" s="613"/>
      <c r="AC55" s="616"/>
      <c r="AD55" s="346">
        <v>41913</v>
      </c>
      <c r="AE55" s="614">
        <f t="shared" ca="1" si="5"/>
        <v>277</v>
      </c>
      <c r="AF55" s="339" t="s">
        <v>96</v>
      </c>
    </row>
    <row r="56" spans="1:32" s="311" customFormat="1" ht="25.5" customHeight="1" x14ac:dyDescent="0.2">
      <c r="A56" s="675" t="s">
        <v>1614</v>
      </c>
      <c r="B56" s="339"/>
      <c r="C56" s="339"/>
      <c r="D56" s="340" t="s">
        <v>1615</v>
      </c>
      <c r="E56" s="340" t="s">
        <v>1616</v>
      </c>
      <c r="F56" s="365">
        <v>61680</v>
      </c>
      <c r="G56" s="673">
        <v>0</v>
      </c>
      <c r="H56" s="673">
        <v>0</v>
      </c>
      <c r="I56" s="673">
        <v>0</v>
      </c>
      <c r="J56" s="673">
        <v>0</v>
      </c>
      <c r="K56" s="673">
        <v>0</v>
      </c>
      <c r="L56" s="673">
        <v>0</v>
      </c>
      <c r="M56" s="673">
        <v>0</v>
      </c>
      <c r="N56" s="673">
        <v>0</v>
      </c>
      <c r="O56" s="673">
        <v>0</v>
      </c>
      <c r="P56" s="673">
        <v>0</v>
      </c>
      <c r="Q56" s="673">
        <v>0</v>
      </c>
      <c r="R56" s="673">
        <v>0</v>
      </c>
      <c r="S56" s="656">
        <f t="shared" si="2"/>
        <v>0</v>
      </c>
      <c r="T56" s="610">
        <f t="shared" ca="1" si="6"/>
        <v>-962</v>
      </c>
      <c r="U56" s="611">
        <v>43420</v>
      </c>
      <c r="V56" s="615" t="s">
        <v>1617</v>
      </c>
      <c r="W56" s="612"/>
      <c r="X56" s="613"/>
      <c r="Y56" s="613"/>
      <c r="Z56" s="613"/>
      <c r="AA56" s="613"/>
      <c r="AB56" s="613"/>
      <c r="AC56" s="616"/>
      <c r="AD56" s="346">
        <v>41961</v>
      </c>
      <c r="AE56" s="614">
        <f t="shared" ca="1" si="5"/>
        <v>229</v>
      </c>
      <c r="AF56" s="339" t="s">
        <v>41</v>
      </c>
    </row>
    <row r="57" spans="1:32" s="311" customFormat="1" ht="25.5" x14ac:dyDescent="0.2">
      <c r="A57" s="675" t="s">
        <v>1631</v>
      </c>
      <c r="B57" s="339" t="s">
        <v>1701</v>
      </c>
      <c r="C57" s="339" t="s">
        <v>617</v>
      </c>
      <c r="D57" s="340" t="s">
        <v>1632</v>
      </c>
      <c r="E57" s="340" t="s">
        <v>1836</v>
      </c>
      <c r="F57" s="365">
        <v>60063.96</v>
      </c>
      <c r="G57" s="673">
        <v>0</v>
      </c>
      <c r="H57" s="673">
        <v>13187.029999999999</v>
      </c>
      <c r="I57" s="673">
        <v>4639.9799999999996</v>
      </c>
      <c r="J57" s="673">
        <v>4639.9799999999996</v>
      </c>
      <c r="K57" s="673">
        <v>4639.9799999999996</v>
      </c>
      <c r="L57" s="673">
        <v>4639.9799999999996</v>
      </c>
      <c r="M57" s="673">
        <v>4639.9799999999996</v>
      </c>
      <c r="N57" s="673">
        <v>4639.9799999999996</v>
      </c>
      <c r="O57" s="673">
        <v>4639.9799999999996</v>
      </c>
      <c r="P57" s="673">
        <v>4639.9799999999996</v>
      </c>
      <c r="Q57" s="673">
        <v>4639.9799999999996</v>
      </c>
      <c r="R57" s="673">
        <v>4639.9799999999996</v>
      </c>
      <c r="S57" s="656">
        <f t="shared" si="2"/>
        <v>59586.829999999973</v>
      </c>
      <c r="T57" s="610">
        <f t="shared" ca="1" si="6"/>
        <v>-1302</v>
      </c>
      <c r="U57" s="611">
        <v>43080</v>
      </c>
      <c r="V57" s="345" t="s">
        <v>1951</v>
      </c>
      <c r="W57" s="612"/>
      <c r="X57" s="613"/>
      <c r="Y57" s="613"/>
      <c r="Z57" s="613"/>
      <c r="AA57" s="613"/>
      <c r="AB57" s="613"/>
      <c r="AC57" s="616"/>
      <c r="AD57" s="346">
        <v>41985</v>
      </c>
      <c r="AE57" s="614">
        <f t="shared" ca="1" si="5"/>
        <v>205</v>
      </c>
      <c r="AF57" s="339" t="s">
        <v>48</v>
      </c>
    </row>
    <row r="58" spans="1:32" s="311" customFormat="1" ht="25.5" x14ac:dyDescent="0.2">
      <c r="A58" s="675" t="s">
        <v>1631</v>
      </c>
      <c r="B58" s="339" t="s">
        <v>1700</v>
      </c>
      <c r="C58" s="339" t="s">
        <v>617</v>
      </c>
      <c r="D58" s="340" t="s">
        <v>1635</v>
      </c>
      <c r="E58" s="340" t="s">
        <v>1636</v>
      </c>
      <c r="F58" s="365">
        <v>111360</v>
      </c>
      <c r="G58" s="673">
        <v>0</v>
      </c>
      <c r="H58" s="673">
        <f>8647.96+9280</f>
        <v>17927.96</v>
      </c>
      <c r="I58" s="673">
        <f>9280+357.53</f>
        <v>9637.5300000000007</v>
      </c>
      <c r="J58" s="673">
        <v>9280</v>
      </c>
      <c r="K58" s="673">
        <v>9280</v>
      </c>
      <c r="L58" s="673">
        <v>9280</v>
      </c>
      <c r="M58" s="673">
        <v>0</v>
      </c>
      <c r="N58" s="673">
        <f>9280*2</f>
        <v>18560</v>
      </c>
      <c r="O58" s="673">
        <v>0</v>
      </c>
      <c r="P58" s="673">
        <f>9280+7269.33</f>
        <v>16549.330000000002</v>
      </c>
      <c r="Q58" s="673">
        <v>6960</v>
      </c>
      <c r="R58" s="673">
        <v>0</v>
      </c>
      <c r="S58" s="656">
        <f t="shared" si="2"/>
        <v>97474.819999999992</v>
      </c>
      <c r="T58" s="610">
        <f t="shared" ca="1" si="6"/>
        <v>-1667</v>
      </c>
      <c r="U58" s="611">
        <v>42715</v>
      </c>
      <c r="V58" s="615" t="s">
        <v>1837</v>
      </c>
      <c r="W58" s="612"/>
      <c r="X58" s="613"/>
      <c r="Y58" s="613"/>
      <c r="Z58" s="613"/>
      <c r="AA58" s="613"/>
      <c r="AB58" s="613"/>
      <c r="AC58" s="616">
        <v>42660</v>
      </c>
      <c r="AD58" s="346">
        <v>41985</v>
      </c>
      <c r="AE58" s="614">
        <f t="shared" ca="1" si="5"/>
        <v>205</v>
      </c>
      <c r="AF58" s="339" t="s">
        <v>48</v>
      </c>
    </row>
    <row r="59" spans="1:32" s="541" customFormat="1" ht="38.25" x14ac:dyDescent="0.2">
      <c r="A59" s="646" t="s">
        <v>1641</v>
      </c>
      <c r="B59" s="639" t="s">
        <v>1608</v>
      </c>
      <c r="C59" s="639" t="s">
        <v>56</v>
      </c>
      <c r="D59" s="340" t="s">
        <v>1642</v>
      </c>
      <c r="E59" s="340" t="s">
        <v>1643</v>
      </c>
      <c r="F59" s="365">
        <v>3388.04</v>
      </c>
      <c r="G59" s="673">
        <v>0</v>
      </c>
      <c r="H59" s="673">
        <v>3888.0299999999997</v>
      </c>
      <c r="I59" s="673">
        <v>0</v>
      </c>
      <c r="J59" s="673">
        <v>0</v>
      </c>
      <c r="K59" s="673">
        <v>0</v>
      </c>
      <c r="L59" s="673">
        <v>0</v>
      </c>
      <c r="M59" s="673">
        <v>0</v>
      </c>
      <c r="N59" s="673">
        <v>0</v>
      </c>
      <c r="O59" s="673">
        <v>0</v>
      </c>
      <c r="P59" s="673">
        <v>0</v>
      </c>
      <c r="Q59" s="673">
        <v>0</v>
      </c>
      <c r="R59" s="673">
        <v>0</v>
      </c>
      <c r="S59" s="656">
        <f t="shared" si="2"/>
        <v>3888.0299999999997</v>
      </c>
      <c r="T59" s="610">
        <f t="shared" ca="1" si="6"/>
        <v>-2036</v>
      </c>
      <c r="U59" s="611">
        <v>42346</v>
      </c>
      <c r="V59" s="615" t="s">
        <v>1644</v>
      </c>
      <c r="W59" s="612"/>
      <c r="X59" s="613"/>
      <c r="Y59" s="613"/>
      <c r="Z59" s="613"/>
      <c r="AA59" s="613"/>
      <c r="AB59" s="613"/>
      <c r="AC59" s="616">
        <v>42303</v>
      </c>
      <c r="AD59" s="346">
        <v>41967</v>
      </c>
      <c r="AE59" s="614">
        <f t="shared" ca="1" si="5"/>
        <v>223</v>
      </c>
      <c r="AF59" s="339" t="s">
        <v>41</v>
      </c>
    </row>
    <row r="60" spans="1:32" s="311" customFormat="1" ht="38.25" customHeight="1" x14ac:dyDescent="0.2">
      <c r="A60" s="675" t="s">
        <v>1645</v>
      </c>
      <c r="B60" s="339" t="s">
        <v>1608</v>
      </c>
      <c r="C60" s="339" t="s">
        <v>56</v>
      </c>
      <c r="D60" s="340" t="s">
        <v>1646</v>
      </c>
      <c r="E60" s="340" t="s">
        <v>1647</v>
      </c>
      <c r="F60" s="365">
        <v>13399.2</v>
      </c>
      <c r="G60" s="673">
        <v>0</v>
      </c>
      <c r="H60" s="673">
        <v>0</v>
      </c>
      <c r="I60" s="673">
        <v>0</v>
      </c>
      <c r="J60" s="673">
        <v>0</v>
      </c>
      <c r="K60" s="673">
        <v>0</v>
      </c>
      <c r="L60" s="673">
        <v>0</v>
      </c>
      <c r="M60" s="673">
        <v>0</v>
      </c>
      <c r="N60" s="673">
        <v>0</v>
      </c>
      <c r="O60" s="673">
        <v>0</v>
      </c>
      <c r="P60" s="673">
        <v>0</v>
      </c>
      <c r="Q60" s="673">
        <v>0</v>
      </c>
      <c r="R60" s="673">
        <v>0</v>
      </c>
      <c r="S60" s="656">
        <f t="shared" si="2"/>
        <v>0</v>
      </c>
      <c r="T60" s="610">
        <f t="shared" ca="1" si="6"/>
        <v>-538</v>
      </c>
      <c r="U60" s="611">
        <v>43844</v>
      </c>
      <c r="V60" s="615" t="s">
        <v>1648</v>
      </c>
      <c r="W60" s="612"/>
      <c r="X60" s="613"/>
      <c r="Y60" s="613"/>
      <c r="Z60" s="613"/>
      <c r="AA60" s="613"/>
      <c r="AB60" s="613"/>
      <c r="AC60" s="616"/>
      <c r="AD60" s="346">
        <v>42019</v>
      </c>
      <c r="AE60" s="614">
        <f t="shared" ca="1" si="5"/>
        <v>171</v>
      </c>
      <c r="AF60" s="339" t="s">
        <v>48</v>
      </c>
    </row>
    <row r="61" spans="1:32" s="311" customFormat="1" ht="48" customHeight="1" x14ac:dyDescent="0.2">
      <c r="A61" s="675" t="s">
        <v>1651</v>
      </c>
      <c r="B61" s="339"/>
      <c r="C61" s="339"/>
      <c r="D61" s="340" t="s">
        <v>1654</v>
      </c>
      <c r="E61" s="340" t="s">
        <v>1652</v>
      </c>
      <c r="F61" s="365">
        <v>41899.019999999997</v>
      </c>
      <c r="G61" s="673">
        <v>0</v>
      </c>
      <c r="H61" s="673">
        <v>0</v>
      </c>
      <c r="I61" s="673">
        <v>0</v>
      </c>
      <c r="J61" s="673">
        <v>0</v>
      </c>
      <c r="K61" s="673">
        <v>0</v>
      </c>
      <c r="L61" s="673">
        <v>0</v>
      </c>
      <c r="M61" s="673">
        <v>0</v>
      </c>
      <c r="N61" s="673">
        <v>0</v>
      </c>
      <c r="O61" s="673">
        <v>0</v>
      </c>
      <c r="P61" s="673">
        <v>0</v>
      </c>
      <c r="Q61" s="673">
        <v>0</v>
      </c>
      <c r="R61" s="673">
        <v>0</v>
      </c>
      <c r="S61" s="656">
        <f t="shared" si="2"/>
        <v>0</v>
      </c>
      <c r="T61" s="610">
        <f t="shared" ca="1" si="6"/>
        <v>-1225</v>
      </c>
      <c r="U61" s="611">
        <v>43157</v>
      </c>
      <c r="V61" s="615" t="s">
        <v>1653</v>
      </c>
      <c r="W61" s="612"/>
      <c r="X61" s="613"/>
      <c r="Y61" s="613"/>
      <c r="Z61" s="613"/>
      <c r="AA61" s="613"/>
      <c r="AB61" s="613"/>
      <c r="AC61" s="616"/>
      <c r="AD61" s="346">
        <v>42062</v>
      </c>
      <c r="AE61" s="614">
        <f t="shared" ca="1" si="5"/>
        <v>128</v>
      </c>
      <c r="AF61" s="339" t="s">
        <v>41</v>
      </c>
    </row>
    <row r="62" spans="1:32" s="311" customFormat="1" ht="38.25" x14ac:dyDescent="0.2">
      <c r="A62" s="675" t="s">
        <v>1891</v>
      </c>
      <c r="B62" s="339" t="s">
        <v>1707</v>
      </c>
      <c r="C62" s="339" t="s">
        <v>56</v>
      </c>
      <c r="D62" s="340" t="s">
        <v>580</v>
      </c>
      <c r="E62" s="340" t="s">
        <v>1892</v>
      </c>
      <c r="F62" s="700">
        <v>3294.6</v>
      </c>
      <c r="G62" s="673">
        <v>250</v>
      </c>
      <c r="H62" s="673">
        <f>250+166.8</f>
        <v>416.8</v>
      </c>
      <c r="I62" s="673">
        <v>250</v>
      </c>
      <c r="J62" s="673">
        <v>250</v>
      </c>
      <c r="K62" s="673">
        <v>250</v>
      </c>
      <c r="L62" s="673">
        <v>250</v>
      </c>
      <c r="M62" s="673">
        <v>250</v>
      </c>
      <c r="N62" s="673">
        <v>274</v>
      </c>
      <c r="O62" s="673">
        <v>274</v>
      </c>
      <c r="P62" s="673">
        <v>274</v>
      </c>
      <c r="Q62" s="673">
        <v>274</v>
      </c>
      <c r="R62" s="673">
        <v>274</v>
      </c>
      <c r="S62" s="656">
        <f t="shared" ref="S62:S122" si="7">SUM(G62:R62)</f>
        <v>3286.8</v>
      </c>
      <c r="T62" s="610">
        <f t="shared" ca="1" si="6"/>
        <v>-1478</v>
      </c>
      <c r="U62" s="611">
        <v>42904</v>
      </c>
      <c r="V62" s="345" t="s">
        <v>1893</v>
      </c>
      <c r="W62" s="612"/>
      <c r="X62" s="613"/>
      <c r="Y62" s="613"/>
      <c r="Z62" s="613"/>
      <c r="AA62" s="613"/>
      <c r="AB62" s="613"/>
      <c r="AC62" s="616"/>
      <c r="AD62" s="346">
        <v>42174</v>
      </c>
      <c r="AE62" s="614">
        <f t="shared" ca="1" si="5"/>
        <v>16</v>
      </c>
      <c r="AF62" s="339" t="s">
        <v>48</v>
      </c>
    </row>
    <row r="63" spans="1:32" s="311" customFormat="1" ht="38.25" x14ac:dyDescent="0.2">
      <c r="A63" s="675" t="s">
        <v>1714</v>
      </c>
      <c r="B63" s="339" t="s">
        <v>1608</v>
      </c>
      <c r="C63" s="339" t="s">
        <v>56</v>
      </c>
      <c r="D63" s="340" t="s">
        <v>83</v>
      </c>
      <c r="E63" s="340" t="s">
        <v>1492</v>
      </c>
      <c r="F63" s="365">
        <v>11340</v>
      </c>
      <c r="G63" s="673">
        <v>737.1</v>
      </c>
      <c r="H63" s="673">
        <f>120+138.6+458.1+75.6</f>
        <v>792.30000000000007</v>
      </c>
      <c r="I63" s="673">
        <v>0</v>
      </c>
      <c r="J63" s="673">
        <v>0</v>
      </c>
      <c r="K63" s="673">
        <v>0</v>
      </c>
      <c r="L63" s="673">
        <v>0</v>
      </c>
      <c r="M63" s="673">
        <v>0</v>
      </c>
      <c r="N63" s="673">
        <v>0</v>
      </c>
      <c r="O63" s="673">
        <v>0</v>
      </c>
      <c r="P63" s="673">
        <v>0</v>
      </c>
      <c r="Q63" s="673">
        <v>0</v>
      </c>
      <c r="R63" s="673">
        <v>0</v>
      </c>
      <c r="S63" s="656">
        <f t="shared" si="7"/>
        <v>1529.4</v>
      </c>
      <c r="T63" s="610">
        <f t="shared" ca="1" si="6"/>
        <v>-1991</v>
      </c>
      <c r="U63" s="611">
        <v>42391</v>
      </c>
      <c r="V63" s="615" t="s">
        <v>1715</v>
      </c>
      <c r="W63" s="612"/>
      <c r="X63" s="613"/>
      <c r="Y63" s="613"/>
      <c r="Z63" s="613"/>
      <c r="AA63" s="613"/>
      <c r="AB63" s="613"/>
      <c r="AC63" s="616">
        <v>42348</v>
      </c>
      <c r="AD63" s="346">
        <v>42027</v>
      </c>
      <c r="AE63" s="614">
        <f t="shared" ca="1" si="5"/>
        <v>163</v>
      </c>
      <c r="AF63" s="339" t="s">
        <v>48</v>
      </c>
    </row>
    <row r="64" spans="1:32" s="311" customFormat="1" ht="25.5" x14ac:dyDescent="0.2">
      <c r="A64" s="675" t="s">
        <v>1722</v>
      </c>
      <c r="B64" s="339" t="s">
        <v>1608</v>
      </c>
      <c r="C64" s="339" t="s">
        <v>56</v>
      </c>
      <c r="D64" s="340" t="s">
        <v>50</v>
      </c>
      <c r="E64" s="340" t="s">
        <v>1723</v>
      </c>
      <c r="F64" s="365">
        <v>13536.96</v>
      </c>
      <c r="G64" s="673">
        <f>920.03+86.5</f>
        <v>1006.53</v>
      </c>
      <c r="H64" s="673">
        <f>920.03+86.5</f>
        <v>1006.53</v>
      </c>
      <c r="I64" s="673">
        <f>920.03+86.5</f>
        <v>1006.53</v>
      </c>
      <c r="J64" s="673">
        <f>920.03+86.5</f>
        <v>1006.53</v>
      </c>
      <c r="K64" s="673">
        <f>997.14+89.28</f>
        <v>1086.42</v>
      </c>
      <c r="L64" s="673">
        <f>1082.71+96.95</f>
        <v>1179.6600000000001</v>
      </c>
      <c r="M64" s="673">
        <f>1082.71+96.95</f>
        <v>1179.6600000000001</v>
      </c>
      <c r="N64" s="673">
        <f>1082.71+96.95</f>
        <v>1179.6600000000001</v>
      </c>
      <c r="O64" s="673">
        <f>1082.71+96.95</f>
        <v>1179.6600000000001</v>
      </c>
      <c r="P64" s="673">
        <f>1082.71+96.95</f>
        <v>1179.6600000000001</v>
      </c>
      <c r="Q64" s="673">
        <f>1031.13+96.95</f>
        <v>1128.0800000000002</v>
      </c>
      <c r="R64" s="673">
        <f>1031.13+96.95</f>
        <v>1128.0800000000002</v>
      </c>
      <c r="S64" s="656">
        <f t="shared" si="7"/>
        <v>13267</v>
      </c>
      <c r="T64" s="610">
        <f t="shared" ca="1" si="6"/>
        <v>-1535</v>
      </c>
      <c r="U64" s="611">
        <v>42847</v>
      </c>
      <c r="V64" s="345" t="s">
        <v>1873</v>
      </c>
      <c r="W64" s="612"/>
      <c r="X64" s="613"/>
      <c r="Y64" s="613"/>
      <c r="Z64" s="613"/>
      <c r="AA64" s="613"/>
      <c r="AB64" s="613"/>
      <c r="AC64" s="616"/>
      <c r="AD64" s="346">
        <v>42117</v>
      </c>
      <c r="AE64" s="614">
        <f t="shared" ca="1" si="5"/>
        <v>73</v>
      </c>
      <c r="AF64" s="339" t="s">
        <v>54</v>
      </c>
    </row>
    <row r="65" spans="1:32" s="541" customFormat="1" ht="76.5" x14ac:dyDescent="0.2">
      <c r="A65" s="646" t="s">
        <v>1728</v>
      </c>
      <c r="B65" s="339" t="s">
        <v>1729</v>
      </c>
      <c r="C65" s="339"/>
      <c r="D65" s="340" t="s">
        <v>1730</v>
      </c>
      <c r="E65" s="340" t="s">
        <v>1731</v>
      </c>
      <c r="F65" s="365">
        <v>6000</v>
      </c>
      <c r="G65" s="673">
        <v>0</v>
      </c>
      <c r="H65" s="673">
        <v>1000</v>
      </c>
      <c r="I65" s="673">
        <v>500</v>
      </c>
      <c r="J65" s="673">
        <v>500</v>
      </c>
      <c r="K65" s="673">
        <v>500</v>
      </c>
      <c r="L65" s="673">
        <v>0</v>
      </c>
      <c r="M65" s="673">
        <v>500</v>
      </c>
      <c r="N65" s="673">
        <v>500</v>
      </c>
      <c r="O65" s="673">
        <v>500</v>
      </c>
      <c r="P65" s="673">
        <v>0</v>
      </c>
      <c r="Q65" s="673">
        <v>0</v>
      </c>
      <c r="R65" s="673">
        <v>0</v>
      </c>
      <c r="S65" s="656">
        <f t="shared" si="7"/>
        <v>4000</v>
      </c>
      <c r="T65" s="610">
        <f t="shared" ca="1" si="6"/>
        <v>-1749</v>
      </c>
      <c r="U65" s="611">
        <v>42633</v>
      </c>
      <c r="V65" s="615" t="s">
        <v>1732</v>
      </c>
      <c r="W65" s="612"/>
      <c r="X65" s="613"/>
      <c r="Y65" s="613"/>
      <c r="Z65" s="613"/>
      <c r="AA65" s="613"/>
      <c r="AB65" s="613"/>
      <c r="AC65" s="616">
        <v>42587</v>
      </c>
      <c r="AD65" s="346">
        <v>42268</v>
      </c>
      <c r="AE65" s="614">
        <f t="shared" ca="1" si="5"/>
        <v>-78</v>
      </c>
      <c r="AF65" s="339" t="s">
        <v>41</v>
      </c>
    </row>
    <row r="66" spans="1:32" s="311" customFormat="1" ht="38.25" x14ac:dyDescent="0.2">
      <c r="A66" s="675" t="s">
        <v>1733</v>
      </c>
      <c r="B66" s="339"/>
      <c r="C66" s="339" t="s">
        <v>1734</v>
      </c>
      <c r="D66" s="340" t="s">
        <v>1735</v>
      </c>
      <c r="E66" s="340" t="s">
        <v>1736</v>
      </c>
      <c r="F66" s="365">
        <v>534552.72</v>
      </c>
      <c r="G66" s="673">
        <v>43476.6</v>
      </c>
      <c r="H66" s="673">
        <v>43476.6</v>
      </c>
      <c r="I66" s="673">
        <v>43476.6</v>
      </c>
      <c r="J66" s="673">
        <v>43476.6</v>
      </c>
      <c r="K66" s="673">
        <v>47177.53</v>
      </c>
      <c r="L66" s="673">
        <f>47177.53+3700.93</f>
        <v>50878.46</v>
      </c>
      <c r="M66" s="673">
        <v>47177.53</v>
      </c>
      <c r="N66" s="673">
        <v>47177.53</v>
      </c>
      <c r="O66" s="673">
        <v>41914.589999999997</v>
      </c>
      <c r="P66" s="673">
        <v>41914.589999999997</v>
      </c>
      <c r="Q66" s="673">
        <v>41914.589999999997</v>
      </c>
      <c r="R66" s="673">
        <v>41914.589999999997</v>
      </c>
      <c r="S66" s="656">
        <f t="shared" si="7"/>
        <v>533975.80999999994</v>
      </c>
      <c r="T66" s="610">
        <f t="shared" ca="1" si="6"/>
        <v>-1432</v>
      </c>
      <c r="U66" s="611">
        <v>42950</v>
      </c>
      <c r="V66" s="345" t="s">
        <v>1915</v>
      </c>
      <c r="W66" s="612"/>
      <c r="X66" s="613"/>
      <c r="Y66" s="613"/>
      <c r="Z66" s="613"/>
      <c r="AA66" s="613"/>
      <c r="AB66" s="613"/>
      <c r="AC66" s="616"/>
      <c r="AD66" s="346">
        <v>42219</v>
      </c>
      <c r="AE66" s="614">
        <f t="shared" ca="1" si="5"/>
        <v>-29</v>
      </c>
      <c r="AF66" s="339" t="s">
        <v>48</v>
      </c>
    </row>
    <row r="67" spans="1:32" s="311" customFormat="1" ht="51" x14ac:dyDescent="0.2">
      <c r="A67" s="675" t="s">
        <v>1742</v>
      </c>
      <c r="B67" s="339" t="s">
        <v>1711</v>
      </c>
      <c r="C67" s="339"/>
      <c r="D67" s="340" t="s">
        <v>1743</v>
      </c>
      <c r="E67" s="340" t="s">
        <v>1744</v>
      </c>
      <c r="F67" s="365">
        <v>4500</v>
      </c>
      <c r="G67" s="673">
        <v>450</v>
      </c>
      <c r="H67" s="673">
        <v>450</v>
      </c>
      <c r="I67" s="673">
        <v>450</v>
      </c>
      <c r="J67" s="673">
        <v>450</v>
      </c>
      <c r="K67" s="673">
        <v>450</v>
      </c>
      <c r="L67" s="673">
        <v>450</v>
      </c>
      <c r="M67" s="673">
        <v>0</v>
      </c>
      <c r="N67" s="673">
        <v>0</v>
      </c>
      <c r="O67" s="673">
        <v>0</v>
      </c>
      <c r="P67" s="673">
        <v>0</v>
      </c>
      <c r="Q67" s="673">
        <v>0</v>
      </c>
      <c r="R67" s="673">
        <v>0</v>
      </c>
      <c r="S67" s="656">
        <f t="shared" si="7"/>
        <v>2700</v>
      </c>
      <c r="T67" s="610">
        <f t="shared" ca="1" si="6"/>
        <v>-1836</v>
      </c>
      <c r="U67" s="611">
        <v>42546</v>
      </c>
      <c r="V67" s="615" t="s">
        <v>1751</v>
      </c>
      <c r="W67" s="612"/>
      <c r="X67" s="613"/>
      <c r="Y67" s="613"/>
      <c r="Z67" s="613"/>
      <c r="AA67" s="613"/>
      <c r="AB67" s="613"/>
      <c r="AC67" s="616">
        <v>42486</v>
      </c>
      <c r="AD67" s="346">
        <v>42242</v>
      </c>
      <c r="AE67" s="614">
        <f t="shared" ca="1" si="5"/>
        <v>-52</v>
      </c>
      <c r="AF67" s="339" t="s">
        <v>41</v>
      </c>
    </row>
    <row r="68" spans="1:32" s="308" customFormat="1" ht="63.75" x14ac:dyDescent="0.2">
      <c r="A68" s="646" t="s">
        <v>1746</v>
      </c>
      <c r="B68" s="339"/>
      <c r="C68" s="339" t="s">
        <v>1747</v>
      </c>
      <c r="D68" s="340" t="s">
        <v>1748</v>
      </c>
      <c r="E68" s="340" t="s">
        <v>1863</v>
      </c>
      <c r="F68" s="365">
        <f>73300+18260</f>
        <v>91560</v>
      </c>
      <c r="G68" s="673">
        <v>22000</v>
      </c>
      <c r="H68" s="673">
        <v>0</v>
      </c>
      <c r="I68" s="673">
        <v>3520</v>
      </c>
      <c r="J68" s="673">
        <v>0</v>
      </c>
      <c r="K68" s="673">
        <v>0</v>
      </c>
      <c r="L68" s="673">
        <v>64280</v>
      </c>
      <c r="M68" s="673">
        <v>0</v>
      </c>
      <c r="N68" s="673">
        <v>0</v>
      </c>
      <c r="O68" s="673">
        <v>0</v>
      </c>
      <c r="P68" s="673">
        <v>0</v>
      </c>
      <c r="Q68" s="673">
        <v>0</v>
      </c>
      <c r="R68" s="673">
        <v>0</v>
      </c>
      <c r="S68" s="656">
        <f t="shared" si="7"/>
        <v>89800</v>
      </c>
      <c r="T68" s="610">
        <f t="shared" ca="1" si="6"/>
        <v>-1877</v>
      </c>
      <c r="U68" s="611">
        <v>42505</v>
      </c>
      <c r="V68" s="345" t="s">
        <v>1864</v>
      </c>
      <c r="W68" s="612"/>
      <c r="X68" s="613"/>
      <c r="Y68" s="613"/>
      <c r="Z68" s="613"/>
      <c r="AA68" s="613"/>
      <c r="AB68" s="613"/>
      <c r="AC68" s="616">
        <v>42479</v>
      </c>
      <c r="AD68" s="346">
        <v>42276</v>
      </c>
      <c r="AE68" s="614">
        <f t="shared" ca="1" si="5"/>
        <v>-86</v>
      </c>
      <c r="AF68" s="339" t="s">
        <v>1786</v>
      </c>
    </row>
    <row r="69" spans="1:32" s="541" customFormat="1" ht="38.25" x14ac:dyDescent="0.2">
      <c r="A69" s="646" t="s">
        <v>1756</v>
      </c>
      <c r="B69" s="339"/>
      <c r="C69" s="339" t="s">
        <v>1757</v>
      </c>
      <c r="D69" s="340" t="s">
        <v>1758</v>
      </c>
      <c r="E69" s="340" t="s">
        <v>1762</v>
      </c>
      <c r="F69" s="651">
        <v>0</v>
      </c>
      <c r="G69" s="673">
        <v>0</v>
      </c>
      <c r="H69" s="673">
        <v>0</v>
      </c>
      <c r="I69" s="673">
        <v>0</v>
      </c>
      <c r="J69" s="673">
        <v>850</v>
      </c>
      <c r="K69" s="673">
        <v>0</v>
      </c>
      <c r="L69" s="673">
        <v>0</v>
      </c>
      <c r="M69" s="673">
        <v>0</v>
      </c>
      <c r="N69" s="673">
        <v>0</v>
      </c>
      <c r="O69" s="673">
        <v>0</v>
      </c>
      <c r="P69" s="673">
        <v>0</v>
      </c>
      <c r="Q69" s="673">
        <v>600</v>
      </c>
      <c r="R69" s="673">
        <v>0</v>
      </c>
      <c r="S69" s="656">
        <f t="shared" si="7"/>
        <v>1450</v>
      </c>
      <c r="T69" s="610">
        <f t="shared" ca="1" si="6"/>
        <v>-1355</v>
      </c>
      <c r="U69" s="611">
        <v>43027</v>
      </c>
      <c r="V69" s="345" t="s">
        <v>1950</v>
      </c>
      <c r="W69" s="612"/>
      <c r="X69" s="613"/>
      <c r="Y69" s="613"/>
      <c r="Z69" s="613"/>
      <c r="AA69" s="613"/>
      <c r="AB69" s="613"/>
      <c r="AC69" s="616"/>
      <c r="AD69" s="346">
        <v>42297</v>
      </c>
      <c r="AE69" s="614">
        <f t="shared" ca="1" si="5"/>
        <v>-107</v>
      </c>
      <c r="AF69" s="339" t="s">
        <v>1763</v>
      </c>
    </row>
    <row r="70" spans="1:32" s="541" customFormat="1" ht="38.25" x14ac:dyDescent="0.2">
      <c r="A70" s="646" t="s">
        <v>1756</v>
      </c>
      <c r="B70" s="339"/>
      <c r="C70" s="339" t="s">
        <v>1757</v>
      </c>
      <c r="D70" s="340" t="s">
        <v>1759</v>
      </c>
      <c r="E70" s="340" t="s">
        <v>1762</v>
      </c>
      <c r="F70" s="651">
        <v>0</v>
      </c>
      <c r="G70" s="673">
        <v>150</v>
      </c>
      <c r="H70" s="673">
        <v>0</v>
      </c>
      <c r="I70" s="673">
        <v>2025</v>
      </c>
      <c r="J70" s="673">
        <v>0</v>
      </c>
      <c r="K70" s="673">
        <v>0</v>
      </c>
      <c r="L70" s="673">
        <v>150</v>
      </c>
      <c r="M70" s="673">
        <v>0</v>
      </c>
      <c r="N70" s="673">
        <v>0</v>
      </c>
      <c r="O70" s="673">
        <v>0</v>
      </c>
      <c r="P70" s="673">
        <v>0</v>
      </c>
      <c r="Q70" s="673">
        <v>820</v>
      </c>
      <c r="R70" s="673">
        <v>0</v>
      </c>
      <c r="S70" s="656">
        <f t="shared" si="7"/>
        <v>3145</v>
      </c>
      <c r="T70" s="610">
        <f t="shared" ca="1" si="6"/>
        <v>-1720</v>
      </c>
      <c r="U70" s="611">
        <v>42662</v>
      </c>
      <c r="V70" s="615" t="s">
        <v>1764</v>
      </c>
      <c r="W70" s="612"/>
      <c r="X70" s="613"/>
      <c r="Y70" s="613"/>
      <c r="Z70" s="613"/>
      <c r="AA70" s="613"/>
      <c r="AB70" s="613"/>
      <c r="AC70" s="616">
        <v>42662</v>
      </c>
      <c r="AD70" s="346">
        <v>42297</v>
      </c>
      <c r="AE70" s="614">
        <f t="shared" ca="1" si="5"/>
        <v>-107</v>
      </c>
      <c r="AF70" s="339" t="s">
        <v>1763</v>
      </c>
    </row>
    <row r="71" spans="1:32" s="541" customFormat="1" ht="38.25" x14ac:dyDescent="0.2">
      <c r="A71" s="646" t="s">
        <v>1756</v>
      </c>
      <c r="B71" s="339"/>
      <c r="C71" s="339" t="s">
        <v>1757</v>
      </c>
      <c r="D71" s="340" t="s">
        <v>1760</v>
      </c>
      <c r="E71" s="340" t="s">
        <v>1762</v>
      </c>
      <c r="F71" s="651">
        <v>0</v>
      </c>
      <c r="G71" s="673">
        <v>0</v>
      </c>
      <c r="H71" s="673">
        <v>0</v>
      </c>
      <c r="I71" s="673">
        <v>0</v>
      </c>
      <c r="J71" s="673">
        <v>0</v>
      </c>
      <c r="K71" s="673">
        <v>0</v>
      </c>
      <c r="L71" s="673">
        <v>0</v>
      </c>
      <c r="M71" s="673">
        <v>0</v>
      </c>
      <c r="N71" s="673">
        <v>0</v>
      </c>
      <c r="O71" s="673">
        <v>0</v>
      </c>
      <c r="P71" s="673">
        <v>0</v>
      </c>
      <c r="Q71" s="673">
        <f>142.5+285</f>
        <v>427.5</v>
      </c>
      <c r="R71" s="673">
        <v>0</v>
      </c>
      <c r="S71" s="656">
        <f t="shared" si="7"/>
        <v>427.5</v>
      </c>
      <c r="T71" s="610">
        <f t="shared" ca="1" si="6"/>
        <v>-1720</v>
      </c>
      <c r="U71" s="611">
        <v>42662</v>
      </c>
      <c r="V71" s="615" t="s">
        <v>1764</v>
      </c>
      <c r="W71" s="612"/>
      <c r="X71" s="613"/>
      <c r="Y71" s="613"/>
      <c r="Z71" s="613"/>
      <c r="AA71" s="613"/>
      <c r="AB71" s="613"/>
      <c r="AC71" s="616">
        <v>42662</v>
      </c>
      <c r="AD71" s="346">
        <v>42297</v>
      </c>
      <c r="AE71" s="614">
        <f t="shared" ca="1" si="5"/>
        <v>-107</v>
      </c>
      <c r="AF71" s="339" t="s">
        <v>1763</v>
      </c>
    </row>
    <row r="72" spans="1:32" s="541" customFormat="1" ht="51" x14ac:dyDescent="0.2">
      <c r="A72" s="646" t="s">
        <v>1756</v>
      </c>
      <c r="B72" s="339"/>
      <c r="C72" s="339" t="s">
        <v>1757</v>
      </c>
      <c r="D72" s="340" t="s">
        <v>1761</v>
      </c>
      <c r="E72" s="340" t="s">
        <v>1762</v>
      </c>
      <c r="F72" s="651">
        <v>0</v>
      </c>
      <c r="G72" s="673">
        <v>0</v>
      </c>
      <c r="H72" s="673">
        <v>0</v>
      </c>
      <c r="I72" s="673">
        <v>0</v>
      </c>
      <c r="J72" s="673">
        <v>0</v>
      </c>
      <c r="K72" s="673">
        <v>0</v>
      </c>
      <c r="L72" s="673">
        <v>0</v>
      </c>
      <c r="M72" s="673">
        <v>0</v>
      </c>
      <c r="N72" s="673">
        <v>0</v>
      </c>
      <c r="O72" s="673">
        <v>0</v>
      </c>
      <c r="P72" s="673">
        <v>0</v>
      </c>
      <c r="Q72" s="673">
        <v>0</v>
      </c>
      <c r="R72" s="673">
        <v>0</v>
      </c>
      <c r="S72" s="656">
        <f t="shared" si="7"/>
        <v>0</v>
      </c>
      <c r="T72" s="610">
        <f t="shared" ca="1" si="6"/>
        <v>-1720</v>
      </c>
      <c r="U72" s="611">
        <v>42662</v>
      </c>
      <c r="V72" s="615" t="s">
        <v>1764</v>
      </c>
      <c r="W72" s="612"/>
      <c r="X72" s="613"/>
      <c r="Y72" s="613"/>
      <c r="Z72" s="613"/>
      <c r="AA72" s="613"/>
      <c r="AB72" s="613"/>
      <c r="AC72" s="616">
        <v>42662</v>
      </c>
      <c r="AD72" s="346">
        <v>42297</v>
      </c>
      <c r="AE72" s="614">
        <f t="shared" ca="1" si="5"/>
        <v>-107</v>
      </c>
      <c r="AF72" s="339" t="s">
        <v>1763</v>
      </c>
    </row>
    <row r="73" spans="1:32" s="541" customFormat="1" ht="38.25" x14ac:dyDescent="0.2">
      <c r="A73" s="646" t="s">
        <v>1770</v>
      </c>
      <c r="B73" s="339"/>
      <c r="C73" s="339" t="s">
        <v>1771</v>
      </c>
      <c r="D73" s="340" t="s">
        <v>44</v>
      </c>
      <c r="E73" s="340" t="s">
        <v>1772</v>
      </c>
      <c r="F73" s="365">
        <v>68787.64</v>
      </c>
      <c r="G73" s="673">
        <v>5282.99</v>
      </c>
      <c r="H73" s="673">
        <v>5282.99</v>
      </c>
      <c r="I73" s="673">
        <v>5282.99</v>
      </c>
      <c r="J73" s="673">
        <v>5282.99</v>
      </c>
      <c r="K73" s="673">
        <v>5282.99</v>
      </c>
      <c r="L73" s="673">
        <v>5282.99</v>
      </c>
      <c r="M73" s="673">
        <v>5282.99</v>
      </c>
      <c r="N73" s="673">
        <v>5282.99</v>
      </c>
      <c r="O73" s="673">
        <v>5282.99</v>
      </c>
      <c r="P73" s="673">
        <v>5282.99</v>
      </c>
      <c r="Q73" s="673">
        <v>5282.99</v>
      </c>
      <c r="R73" s="673">
        <v>5282.99</v>
      </c>
      <c r="S73" s="656">
        <f t="shared" si="7"/>
        <v>63395.879999999983</v>
      </c>
      <c r="T73" s="617">
        <f t="shared" ca="1" si="6"/>
        <v>-1314</v>
      </c>
      <c r="U73" s="611">
        <v>43068</v>
      </c>
      <c r="V73" s="345" t="s">
        <v>1971</v>
      </c>
      <c r="W73" s="612"/>
      <c r="X73" s="613"/>
      <c r="Y73" s="613"/>
      <c r="Z73" s="613"/>
      <c r="AA73" s="613"/>
      <c r="AB73" s="613"/>
      <c r="AC73" s="616"/>
      <c r="AD73" s="346">
        <v>42338</v>
      </c>
      <c r="AE73" s="618">
        <f t="shared" ca="1" si="5"/>
        <v>-148</v>
      </c>
      <c r="AF73" s="339" t="s">
        <v>48</v>
      </c>
    </row>
    <row r="74" spans="1:32" s="541" customFormat="1" ht="25.5" customHeight="1" x14ac:dyDescent="0.2">
      <c r="A74" s="646" t="s">
        <v>1774</v>
      </c>
      <c r="B74" s="639" t="s">
        <v>1775</v>
      </c>
      <c r="C74" s="339"/>
      <c r="D74" s="340" t="s">
        <v>973</v>
      </c>
      <c r="E74" s="340" t="s">
        <v>1438</v>
      </c>
      <c r="F74" s="365">
        <v>8000</v>
      </c>
      <c r="G74" s="673">
        <v>0</v>
      </c>
      <c r="H74" s="673">
        <v>0</v>
      </c>
      <c r="I74" s="673">
        <v>0</v>
      </c>
      <c r="J74" s="673">
        <v>0</v>
      </c>
      <c r="K74" s="673">
        <v>0</v>
      </c>
      <c r="L74" s="673">
        <v>0</v>
      </c>
      <c r="M74" s="673">
        <v>0</v>
      </c>
      <c r="N74" s="673">
        <v>0</v>
      </c>
      <c r="O74" s="673">
        <v>0</v>
      </c>
      <c r="P74" s="673">
        <v>0</v>
      </c>
      <c r="Q74" s="673">
        <v>0</v>
      </c>
      <c r="R74" s="673">
        <v>0</v>
      </c>
      <c r="S74" s="656">
        <f t="shared" si="7"/>
        <v>0</v>
      </c>
      <c r="T74" s="610">
        <f t="shared" ca="1" si="6"/>
        <v>-1693</v>
      </c>
      <c r="U74" s="611">
        <v>42689</v>
      </c>
      <c r="V74" s="615" t="s">
        <v>1776</v>
      </c>
      <c r="W74" s="612"/>
      <c r="X74" s="613"/>
      <c r="Y74" s="613"/>
      <c r="Z74" s="613"/>
      <c r="AA74" s="613"/>
      <c r="AB74" s="613"/>
      <c r="AC74" s="616">
        <v>42646</v>
      </c>
      <c r="AD74" s="346">
        <v>42324</v>
      </c>
      <c r="AE74" s="614">
        <f t="shared" ca="1" si="5"/>
        <v>-134</v>
      </c>
      <c r="AF74" s="339" t="s">
        <v>649</v>
      </c>
    </row>
    <row r="75" spans="1:32" s="541" customFormat="1" ht="25.5" x14ac:dyDescent="0.2">
      <c r="A75" s="646" t="s">
        <v>1777</v>
      </c>
      <c r="B75" s="639" t="s">
        <v>1775</v>
      </c>
      <c r="C75" s="339"/>
      <c r="D75" s="340" t="s">
        <v>1778</v>
      </c>
      <c r="E75" s="340" t="s">
        <v>1779</v>
      </c>
      <c r="F75" s="365">
        <v>15666.96</v>
      </c>
      <c r="G75" s="673">
        <v>1200</v>
      </c>
      <c r="H75" s="673">
        <v>1200</v>
      </c>
      <c r="I75" s="673">
        <v>1200</v>
      </c>
      <c r="J75" s="673">
        <v>1200</v>
      </c>
      <c r="K75" s="673">
        <v>1200</v>
      </c>
      <c r="L75" s="673">
        <v>1200</v>
      </c>
      <c r="M75" s="673">
        <v>1200</v>
      </c>
      <c r="N75" s="673">
        <v>1200</v>
      </c>
      <c r="O75" s="673">
        <v>1200</v>
      </c>
      <c r="P75" s="673">
        <v>1200</v>
      </c>
      <c r="Q75" s="673">
        <v>1200</v>
      </c>
      <c r="R75" s="673">
        <v>1200</v>
      </c>
      <c r="S75" s="656">
        <f t="shared" si="7"/>
        <v>14400</v>
      </c>
      <c r="T75" s="617">
        <f t="shared" ca="1" si="6"/>
        <v>-1314</v>
      </c>
      <c r="U75" s="611">
        <v>43068</v>
      </c>
      <c r="V75" s="345" t="s">
        <v>1970</v>
      </c>
      <c r="W75" s="612"/>
      <c r="X75" s="613"/>
      <c r="Y75" s="613"/>
      <c r="Z75" s="613"/>
      <c r="AA75" s="613"/>
      <c r="AB75" s="613"/>
      <c r="AC75" s="616"/>
      <c r="AD75" s="346">
        <v>42338</v>
      </c>
      <c r="AE75" s="618">
        <f t="shared" ca="1" si="5"/>
        <v>-148</v>
      </c>
      <c r="AF75" s="339" t="s">
        <v>1454</v>
      </c>
    </row>
    <row r="76" spans="1:32" s="541" customFormat="1" ht="114.75" x14ac:dyDescent="0.2">
      <c r="A76" s="646" t="s">
        <v>1792</v>
      </c>
      <c r="B76" s="339"/>
      <c r="C76" s="339" t="s">
        <v>1793</v>
      </c>
      <c r="D76" s="340" t="s">
        <v>586</v>
      </c>
      <c r="E76" s="340" t="s">
        <v>1880</v>
      </c>
      <c r="F76" s="365" t="s">
        <v>314</v>
      </c>
      <c r="G76" s="673">
        <v>0</v>
      </c>
      <c r="H76" s="673">
        <v>0</v>
      </c>
      <c r="I76" s="673">
        <v>0</v>
      </c>
      <c r="J76" s="673">
        <v>0</v>
      </c>
      <c r="K76" s="673">
        <v>0</v>
      </c>
      <c r="L76" s="673">
        <v>0</v>
      </c>
      <c r="M76" s="673">
        <v>0</v>
      </c>
      <c r="N76" s="673">
        <v>0</v>
      </c>
      <c r="O76" s="673">
        <v>0</v>
      </c>
      <c r="P76" s="673">
        <v>0</v>
      </c>
      <c r="Q76" s="673">
        <v>0</v>
      </c>
      <c r="R76" s="673">
        <v>0</v>
      </c>
      <c r="S76" s="656">
        <f t="shared" si="7"/>
        <v>0</v>
      </c>
      <c r="T76" s="617">
        <f t="shared" ca="1" si="6"/>
        <v>-188</v>
      </c>
      <c r="U76" s="611">
        <v>44194</v>
      </c>
      <c r="V76" s="345" t="s">
        <v>1873</v>
      </c>
      <c r="W76" s="612"/>
      <c r="X76" s="613"/>
      <c r="Y76" s="613"/>
      <c r="Z76" s="613"/>
      <c r="AA76" s="613"/>
      <c r="AB76" s="613"/>
      <c r="AC76" s="616"/>
      <c r="AD76" s="346">
        <v>42358</v>
      </c>
      <c r="AE76" s="618">
        <f t="shared" ca="1" si="5"/>
        <v>-168</v>
      </c>
      <c r="AF76" s="339" t="s">
        <v>1796</v>
      </c>
    </row>
    <row r="77" spans="1:32" s="541" customFormat="1" ht="38.25" customHeight="1" x14ac:dyDescent="0.2">
      <c r="A77" s="646" t="s">
        <v>1756</v>
      </c>
      <c r="B77" s="339"/>
      <c r="C77" s="339" t="s">
        <v>1757</v>
      </c>
      <c r="D77" s="340" t="s">
        <v>1797</v>
      </c>
      <c r="E77" s="340" t="s">
        <v>1798</v>
      </c>
      <c r="F77" s="365" t="s">
        <v>314</v>
      </c>
      <c r="G77" s="673">
        <v>0</v>
      </c>
      <c r="H77" s="673">
        <v>0</v>
      </c>
      <c r="I77" s="673">
        <v>0</v>
      </c>
      <c r="J77" s="673">
        <v>0</v>
      </c>
      <c r="K77" s="673">
        <v>0</v>
      </c>
      <c r="L77" s="673">
        <v>0</v>
      </c>
      <c r="M77" s="673">
        <v>0</v>
      </c>
      <c r="N77" s="673">
        <v>0</v>
      </c>
      <c r="O77" s="673">
        <v>0</v>
      </c>
      <c r="P77" s="673">
        <v>0</v>
      </c>
      <c r="Q77" s="673">
        <v>0</v>
      </c>
      <c r="R77" s="673">
        <v>0</v>
      </c>
      <c r="S77" s="656">
        <f t="shared" si="7"/>
        <v>0</v>
      </c>
      <c r="T77" s="617">
        <f t="shared" ca="1" si="6"/>
        <v>-1661</v>
      </c>
      <c r="U77" s="611">
        <v>42721</v>
      </c>
      <c r="V77" s="345" t="s">
        <v>1822</v>
      </c>
      <c r="W77" s="612"/>
      <c r="X77" s="613"/>
      <c r="Y77" s="613"/>
      <c r="Z77" s="613"/>
      <c r="AA77" s="613"/>
      <c r="AB77" s="613"/>
      <c r="AC77" s="616">
        <v>42669</v>
      </c>
      <c r="AD77" s="346">
        <v>42356</v>
      </c>
      <c r="AE77" s="618">
        <f t="shared" ca="1" si="5"/>
        <v>-166</v>
      </c>
      <c r="AF77" s="339" t="s">
        <v>1763</v>
      </c>
    </row>
    <row r="78" spans="1:32" s="541" customFormat="1" ht="38.25" customHeight="1" x14ac:dyDescent="0.2">
      <c r="A78" s="646" t="s">
        <v>1756</v>
      </c>
      <c r="B78" s="339"/>
      <c r="C78" s="339" t="s">
        <v>1757</v>
      </c>
      <c r="D78" s="340" t="s">
        <v>1799</v>
      </c>
      <c r="E78" s="340" t="s">
        <v>1798</v>
      </c>
      <c r="F78" s="365" t="s">
        <v>314</v>
      </c>
      <c r="G78" s="673">
        <v>0</v>
      </c>
      <c r="H78" s="673">
        <v>0</v>
      </c>
      <c r="I78" s="673">
        <v>0</v>
      </c>
      <c r="J78" s="673">
        <v>0</v>
      </c>
      <c r="K78" s="673">
        <v>0</v>
      </c>
      <c r="L78" s="673">
        <v>0</v>
      </c>
      <c r="M78" s="673">
        <v>0</v>
      </c>
      <c r="N78" s="673">
        <v>0</v>
      </c>
      <c r="O78" s="673">
        <v>0</v>
      </c>
      <c r="P78" s="673">
        <v>0</v>
      </c>
      <c r="Q78" s="673">
        <v>0</v>
      </c>
      <c r="R78" s="673">
        <v>0</v>
      </c>
      <c r="S78" s="656">
        <f t="shared" si="7"/>
        <v>0</v>
      </c>
      <c r="T78" s="617">
        <f t="shared" ca="1" si="6"/>
        <v>-1661</v>
      </c>
      <c r="U78" s="611">
        <v>42721</v>
      </c>
      <c r="V78" s="345" t="s">
        <v>1822</v>
      </c>
      <c r="W78" s="612"/>
      <c r="X78" s="613"/>
      <c r="Y78" s="613"/>
      <c r="Z78" s="613"/>
      <c r="AA78" s="613"/>
      <c r="AB78" s="613"/>
      <c r="AC78" s="616">
        <v>42669</v>
      </c>
      <c r="AD78" s="346">
        <v>42356</v>
      </c>
      <c r="AE78" s="618">
        <f t="shared" ca="1" si="5"/>
        <v>-166</v>
      </c>
      <c r="AF78" s="339" t="s">
        <v>1763</v>
      </c>
    </row>
    <row r="79" spans="1:32" s="541" customFormat="1" ht="38.25" customHeight="1" x14ac:dyDescent="0.2">
      <c r="A79" s="646" t="s">
        <v>1756</v>
      </c>
      <c r="B79" s="339"/>
      <c r="C79" s="339" t="s">
        <v>1757</v>
      </c>
      <c r="D79" s="340" t="s">
        <v>1807</v>
      </c>
      <c r="E79" s="340" t="s">
        <v>1798</v>
      </c>
      <c r="F79" s="365" t="s">
        <v>314</v>
      </c>
      <c r="G79" s="673">
        <v>0</v>
      </c>
      <c r="H79" s="673">
        <v>0</v>
      </c>
      <c r="I79" s="673">
        <v>0</v>
      </c>
      <c r="J79" s="673">
        <v>0</v>
      </c>
      <c r="K79" s="673">
        <v>0</v>
      </c>
      <c r="L79" s="673">
        <v>0</v>
      </c>
      <c r="M79" s="673">
        <v>0</v>
      </c>
      <c r="N79" s="673">
        <v>0</v>
      </c>
      <c r="O79" s="673">
        <v>0</v>
      </c>
      <c r="P79" s="673">
        <v>0</v>
      </c>
      <c r="Q79" s="673">
        <v>0</v>
      </c>
      <c r="R79" s="673">
        <v>0</v>
      </c>
      <c r="S79" s="656">
        <f t="shared" si="7"/>
        <v>0</v>
      </c>
      <c r="T79" s="617">
        <f t="shared" ca="1" si="6"/>
        <v>-1661</v>
      </c>
      <c r="U79" s="611">
        <v>42721</v>
      </c>
      <c r="V79" s="345" t="s">
        <v>1822</v>
      </c>
      <c r="W79" s="612"/>
      <c r="X79" s="613"/>
      <c r="Y79" s="613"/>
      <c r="Z79" s="613"/>
      <c r="AA79" s="613"/>
      <c r="AB79" s="613"/>
      <c r="AC79" s="616">
        <v>42669</v>
      </c>
      <c r="AD79" s="346">
        <v>42356</v>
      </c>
      <c r="AE79" s="618">
        <f t="shared" ca="1" si="5"/>
        <v>-166</v>
      </c>
      <c r="AF79" s="339" t="s">
        <v>1763</v>
      </c>
    </row>
    <row r="80" spans="1:32" s="541" customFormat="1" ht="38.25" customHeight="1" x14ac:dyDescent="0.2">
      <c r="A80" s="646" t="s">
        <v>1756</v>
      </c>
      <c r="B80" s="339"/>
      <c r="C80" s="339" t="s">
        <v>1757</v>
      </c>
      <c r="D80" s="340" t="s">
        <v>1800</v>
      </c>
      <c r="E80" s="340" t="s">
        <v>1798</v>
      </c>
      <c r="F80" s="365" t="s">
        <v>314</v>
      </c>
      <c r="G80" s="673">
        <v>0</v>
      </c>
      <c r="H80" s="673">
        <v>0</v>
      </c>
      <c r="I80" s="673">
        <v>0</v>
      </c>
      <c r="J80" s="673">
        <v>0</v>
      </c>
      <c r="K80" s="673">
        <v>0</v>
      </c>
      <c r="L80" s="673">
        <v>0</v>
      </c>
      <c r="M80" s="673">
        <v>0</v>
      </c>
      <c r="N80" s="673">
        <v>0</v>
      </c>
      <c r="O80" s="673">
        <v>0</v>
      </c>
      <c r="P80" s="673">
        <v>0</v>
      </c>
      <c r="Q80" s="673">
        <v>0</v>
      </c>
      <c r="R80" s="673">
        <v>0</v>
      </c>
      <c r="S80" s="656">
        <f t="shared" si="7"/>
        <v>0</v>
      </c>
      <c r="T80" s="617">
        <f t="shared" ca="1" si="6"/>
        <v>-1661</v>
      </c>
      <c r="U80" s="611">
        <v>42721</v>
      </c>
      <c r="V80" s="345" t="s">
        <v>1822</v>
      </c>
      <c r="W80" s="612"/>
      <c r="X80" s="613"/>
      <c r="Y80" s="613"/>
      <c r="Z80" s="613"/>
      <c r="AA80" s="613"/>
      <c r="AB80" s="613"/>
      <c r="AC80" s="616">
        <v>42669</v>
      </c>
      <c r="AD80" s="346">
        <v>42356</v>
      </c>
      <c r="AE80" s="618">
        <f t="shared" ca="1" si="5"/>
        <v>-166</v>
      </c>
      <c r="AF80" s="339" t="s">
        <v>1763</v>
      </c>
    </row>
    <row r="81" spans="1:32" s="541" customFormat="1" ht="38.25" customHeight="1" x14ac:dyDescent="0.2">
      <c r="A81" s="646" t="s">
        <v>1756</v>
      </c>
      <c r="B81" s="339"/>
      <c r="C81" s="339" t="s">
        <v>1757</v>
      </c>
      <c r="D81" s="340" t="s">
        <v>1801</v>
      </c>
      <c r="E81" s="340" t="s">
        <v>1798</v>
      </c>
      <c r="F81" s="365" t="s">
        <v>314</v>
      </c>
      <c r="G81" s="673">
        <v>0</v>
      </c>
      <c r="H81" s="673">
        <v>0</v>
      </c>
      <c r="I81" s="673">
        <v>0</v>
      </c>
      <c r="J81" s="673">
        <v>0</v>
      </c>
      <c r="K81" s="673">
        <v>0</v>
      </c>
      <c r="L81" s="673">
        <v>0</v>
      </c>
      <c r="M81" s="673">
        <v>0</v>
      </c>
      <c r="N81" s="673">
        <v>0</v>
      </c>
      <c r="O81" s="673">
        <v>0</v>
      </c>
      <c r="P81" s="673">
        <v>0</v>
      </c>
      <c r="Q81" s="673">
        <v>0</v>
      </c>
      <c r="R81" s="673">
        <v>0</v>
      </c>
      <c r="S81" s="656">
        <f t="shared" si="7"/>
        <v>0</v>
      </c>
      <c r="T81" s="617">
        <f t="shared" ca="1" si="6"/>
        <v>-1661</v>
      </c>
      <c r="U81" s="611">
        <v>42721</v>
      </c>
      <c r="V81" s="345" t="s">
        <v>1822</v>
      </c>
      <c r="W81" s="612"/>
      <c r="X81" s="613"/>
      <c r="Y81" s="613"/>
      <c r="Z81" s="613"/>
      <c r="AA81" s="613"/>
      <c r="AB81" s="613"/>
      <c r="AC81" s="616">
        <v>42669</v>
      </c>
      <c r="AD81" s="346">
        <v>42356</v>
      </c>
      <c r="AE81" s="618">
        <f t="shared" ca="1" si="5"/>
        <v>-166</v>
      </c>
      <c r="AF81" s="339" t="s">
        <v>1763</v>
      </c>
    </row>
    <row r="82" spans="1:32" s="541" customFormat="1" ht="38.25" customHeight="1" x14ac:dyDescent="0.2">
      <c r="A82" s="646" t="s">
        <v>1756</v>
      </c>
      <c r="B82" s="339"/>
      <c r="C82" s="339" t="s">
        <v>1757</v>
      </c>
      <c r="D82" s="340" t="s">
        <v>1802</v>
      </c>
      <c r="E82" s="340" t="s">
        <v>1798</v>
      </c>
      <c r="F82" s="365" t="s">
        <v>314</v>
      </c>
      <c r="G82" s="673">
        <v>0</v>
      </c>
      <c r="H82" s="673">
        <v>0</v>
      </c>
      <c r="I82" s="673">
        <v>0</v>
      </c>
      <c r="J82" s="673">
        <v>0</v>
      </c>
      <c r="K82" s="673">
        <v>0</v>
      </c>
      <c r="L82" s="673">
        <v>0</v>
      </c>
      <c r="M82" s="673">
        <v>0</v>
      </c>
      <c r="N82" s="673">
        <v>0</v>
      </c>
      <c r="O82" s="673">
        <v>0</v>
      </c>
      <c r="P82" s="673">
        <v>0</v>
      </c>
      <c r="Q82" s="673">
        <v>0</v>
      </c>
      <c r="R82" s="673">
        <v>0</v>
      </c>
      <c r="S82" s="656">
        <f t="shared" si="7"/>
        <v>0</v>
      </c>
      <c r="T82" s="617">
        <f t="shared" ca="1" si="6"/>
        <v>-1661</v>
      </c>
      <c r="U82" s="611">
        <v>42721</v>
      </c>
      <c r="V82" s="345" t="s">
        <v>1822</v>
      </c>
      <c r="W82" s="612"/>
      <c r="X82" s="613"/>
      <c r="Y82" s="613"/>
      <c r="Z82" s="613"/>
      <c r="AA82" s="613"/>
      <c r="AB82" s="613"/>
      <c r="AC82" s="616">
        <v>42669</v>
      </c>
      <c r="AD82" s="346">
        <v>42356</v>
      </c>
      <c r="AE82" s="618">
        <f t="shared" ca="1" si="5"/>
        <v>-166</v>
      </c>
      <c r="AF82" s="339" t="s">
        <v>1763</v>
      </c>
    </row>
    <row r="83" spans="1:32" s="541" customFormat="1" ht="38.25" customHeight="1" x14ac:dyDescent="0.2">
      <c r="A83" s="646" t="s">
        <v>1756</v>
      </c>
      <c r="B83" s="339"/>
      <c r="C83" s="339" t="s">
        <v>1757</v>
      </c>
      <c r="D83" s="340" t="s">
        <v>1803</v>
      </c>
      <c r="E83" s="340" t="s">
        <v>1798</v>
      </c>
      <c r="F83" s="365" t="s">
        <v>314</v>
      </c>
      <c r="G83" s="673">
        <v>0</v>
      </c>
      <c r="H83" s="673">
        <v>0</v>
      </c>
      <c r="I83" s="673">
        <v>0</v>
      </c>
      <c r="J83" s="673">
        <v>0</v>
      </c>
      <c r="K83" s="673">
        <v>0</v>
      </c>
      <c r="L83" s="673">
        <v>0</v>
      </c>
      <c r="M83" s="673">
        <v>0</v>
      </c>
      <c r="N83" s="673">
        <v>0</v>
      </c>
      <c r="O83" s="673">
        <v>0</v>
      </c>
      <c r="P83" s="673">
        <v>0</v>
      </c>
      <c r="Q83" s="673">
        <v>0</v>
      </c>
      <c r="R83" s="673">
        <v>0</v>
      </c>
      <c r="S83" s="656">
        <f t="shared" si="7"/>
        <v>0</v>
      </c>
      <c r="T83" s="617">
        <f t="shared" ca="1" si="6"/>
        <v>-1661</v>
      </c>
      <c r="U83" s="611">
        <v>42721</v>
      </c>
      <c r="V83" s="345" t="s">
        <v>1822</v>
      </c>
      <c r="W83" s="612"/>
      <c r="X83" s="613"/>
      <c r="Y83" s="613"/>
      <c r="Z83" s="613"/>
      <c r="AA83" s="613"/>
      <c r="AB83" s="613"/>
      <c r="AC83" s="616">
        <v>42669</v>
      </c>
      <c r="AD83" s="346">
        <v>42356</v>
      </c>
      <c r="AE83" s="618">
        <f t="shared" ca="1" si="5"/>
        <v>-166</v>
      </c>
      <c r="AF83" s="339" t="s">
        <v>1763</v>
      </c>
    </row>
    <row r="84" spans="1:32" s="541" customFormat="1" ht="38.25" customHeight="1" x14ac:dyDescent="0.2">
      <c r="A84" s="646" t="s">
        <v>1756</v>
      </c>
      <c r="B84" s="339"/>
      <c r="C84" s="339" t="s">
        <v>1757</v>
      </c>
      <c r="D84" s="340" t="s">
        <v>1804</v>
      </c>
      <c r="E84" s="340" t="s">
        <v>1798</v>
      </c>
      <c r="F84" s="365" t="s">
        <v>314</v>
      </c>
      <c r="G84" s="673">
        <v>0</v>
      </c>
      <c r="H84" s="673">
        <v>0</v>
      </c>
      <c r="I84" s="673">
        <v>0</v>
      </c>
      <c r="J84" s="673">
        <v>0</v>
      </c>
      <c r="K84" s="673">
        <v>0</v>
      </c>
      <c r="L84" s="673">
        <v>0</v>
      </c>
      <c r="M84" s="673">
        <v>0</v>
      </c>
      <c r="N84" s="673">
        <v>0</v>
      </c>
      <c r="O84" s="673">
        <v>0</v>
      </c>
      <c r="P84" s="673">
        <v>0</v>
      </c>
      <c r="Q84" s="673">
        <v>0</v>
      </c>
      <c r="R84" s="673">
        <v>0</v>
      </c>
      <c r="S84" s="656">
        <f t="shared" si="7"/>
        <v>0</v>
      </c>
      <c r="T84" s="617">
        <f t="shared" ca="1" si="6"/>
        <v>-1661</v>
      </c>
      <c r="U84" s="611">
        <v>42721</v>
      </c>
      <c r="V84" s="345" t="s">
        <v>1822</v>
      </c>
      <c r="W84" s="612"/>
      <c r="X84" s="613"/>
      <c r="Y84" s="613"/>
      <c r="Z84" s="613"/>
      <c r="AA84" s="613"/>
      <c r="AB84" s="613"/>
      <c r="AC84" s="616">
        <v>42669</v>
      </c>
      <c r="AD84" s="346">
        <v>42356</v>
      </c>
      <c r="AE84" s="618">
        <f t="shared" ca="1" si="5"/>
        <v>-166</v>
      </c>
      <c r="AF84" s="339" t="s">
        <v>1763</v>
      </c>
    </row>
    <row r="85" spans="1:32" s="541" customFormat="1" ht="38.25" customHeight="1" x14ac:dyDescent="0.2">
      <c r="A85" s="646" t="s">
        <v>1756</v>
      </c>
      <c r="B85" s="339"/>
      <c r="C85" s="339" t="s">
        <v>1757</v>
      </c>
      <c r="D85" s="340" t="s">
        <v>1805</v>
      </c>
      <c r="E85" s="340" t="s">
        <v>1798</v>
      </c>
      <c r="F85" s="365" t="s">
        <v>314</v>
      </c>
      <c r="G85" s="673">
        <v>0</v>
      </c>
      <c r="H85" s="673">
        <v>0</v>
      </c>
      <c r="I85" s="673">
        <v>0</v>
      </c>
      <c r="J85" s="673">
        <v>0</v>
      </c>
      <c r="K85" s="673">
        <v>0</v>
      </c>
      <c r="L85" s="673">
        <v>0</v>
      </c>
      <c r="M85" s="673">
        <v>0</v>
      </c>
      <c r="N85" s="673">
        <v>0</v>
      </c>
      <c r="O85" s="673">
        <v>0</v>
      </c>
      <c r="P85" s="673">
        <v>0</v>
      </c>
      <c r="Q85" s="673">
        <v>0</v>
      </c>
      <c r="R85" s="673">
        <v>0</v>
      </c>
      <c r="S85" s="656">
        <f t="shared" si="7"/>
        <v>0</v>
      </c>
      <c r="T85" s="617">
        <f t="shared" ca="1" si="6"/>
        <v>-1661</v>
      </c>
      <c r="U85" s="611">
        <v>42721</v>
      </c>
      <c r="V85" s="345" t="s">
        <v>1822</v>
      </c>
      <c r="W85" s="612"/>
      <c r="X85" s="613"/>
      <c r="Y85" s="613"/>
      <c r="Z85" s="613"/>
      <c r="AA85" s="613"/>
      <c r="AB85" s="613"/>
      <c r="AC85" s="616">
        <v>42669</v>
      </c>
      <c r="AD85" s="346">
        <v>42356</v>
      </c>
      <c r="AE85" s="618">
        <f t="shared" ca="1" si="5"/>
        <v>-166</v>
      </c>
      <c r="AF85" s="339" t="s">
        <v>1763</v>
      </c>
    </row>
    <row r="86" spans="1:32" s="541" customFormat="1" ht="38.25" customHeight="1" x14ac:dyDescent="0.2">
      <c r="A86" s="646" t="s">
        <v>1756</v>
      </c>
      <c r="B86" s="339"/>
      <c r="C86" s="339" t="s">
        <v>1757</v>
      </c>
      <c r="D86" s="340" t="s">
        <v>1806</v>
      </c>
      <c r="E86" s="340" t="s">
        <v>1798</v>
      </c>
      <c r="F86" s="365" t="s">
        <v>314</v>
      </c>
      <c r="G86" s="673">
        <v>0</v>
      </c>
      <c r="H86" s="673">
        <v>0</v>
      </c>
      <c r="I86" s="673">
        <v>0</v>
      </c>
      <c r="J86" s="673">
        <v>0</v>
      </c>
      <c r="K86" s="673">
        <v>0</v>
      </c>
      <c r="L86" s="673">
        <v>0</v>
      </c>
      <c r="M86" s="673">
        <v>0</v>
      </c>
      <c r="N86" s="673">
        <v>0</v>
      </c>
      <c r="O86" s="673">
        <v>0</v>
      </c>
      <c r="P86" s="673">
        <v>0</v>
      </c>
      <c r="Q86" s="673">
        <v>0</v>
      </c>
      <c r="R86" s="673">
        <v>0</v>
      </c>
      <c r="S86" s="656">
        <f t="shared" si="7"/>
        <v>0</v>
      </c>
      <c r="T86" s="617">
        <f t="shared" ca="1" si="6"/>
        <v>-1661</v>
      </c>
      <c r="U86" s="611">
        <v>42721</v>
      </c>
      <c r="V86" s="345" t="s">
        <v>1822</v>
      </c>
      <c r="W86" s="612"/>
      <c r="X86" s="613"/>
      <c r="Y86" s="613"/>
      <c r="Z86" s="613"/>
      <c r="AA86" s="613"/>
      <c r="AB86" s="613"/>
      <c r="AC86" s="616">
        <v>42669</v>
      </c>
      <c r="AD86" s="346">
        <v>42356</v>
      </c>
      <c r="AE86" s="618">
        <f t="shared" ref="AE86:AE117" ca="1" si="8">TODAY()-DATE(YEAR(AD86)+6,MONTH(AD86),DAY(AD86))</f>
        <v>-166</v>
      </c>
      <c r="AF86" s="339" t="s">
        <v>1763</v>
      </c>
    </row>
    <row r="87" spans="1:32" s="541" customFormat="1" ht="38.25" customHeight="1" x14ac:dyDescent="0.2">
      <c r="A87" s="646" t="s">
        <v>1756</v>
      </c>
      <c r="B87" s="339"/>
      <c r="C87" s="339" t="s">
        <v>1757</v>
      </c>
      <c r="D87" s="340" t="s">
        <v>1808</v>
      </c>
      <c r="E87" s="340" t="s">
        <v>1798</v>
      </c>
      <c r="F87" s="365" t="s">
        <v>314</v>
      </c>
      <c r="G87" s="673">
        <v>0</v>
      </c>
      <c r="H87" s="673">
        <v>0</v>
      </c>
      <c r="I87" s="673">
        <v>0</v>
      </c>
      <c r="J87" s="673">
        <v>0</v>
      </c>
      <c r="K87" s="673">
        <v>0</v>
      </c>
      <c r="L87" s="673">
        <v>0</v>
      </c>
      <c r="M87" s="673">
        <v>0</v>
      </c>
      <c r="N87" s="673">
        <v>0</v>
      </c>
      <c r="O87" s="673">
        <v>0</v>
      </c>
      <c r="P87" s="673">
        <v>0</v>
      </c>
      <c r="Q87" s="673">
        <v>0</v>
      </c>
      <c r="R87" s="673">
        <v>0</v>
      </c>
      <c r="S87" s="656">
        <f t="shared" si="7"/>
        <v>0</v>
      </c>
      <c r="T87" s="617">
        <f t="shared" ca="1" si="6"/>
        <v>-1661</v>
      </c>
      <c r="U87" s="611">
        <v>42721</v>
      </c>
      <c r="V87" s="345" t="s">
        <v>1822</v>
      </c>
      <c r="W87" s="612"/>
      <c r="X87" s="613"/>
      <c r="Y87" s="613"/>
      <c r="Z87" s="613"/>
      <c r="AA87" s="613"/>
      <c r="AB87" s="613"/>
      <c r="AC87" s="616">
        <v>42669</v>
      </c>
      <c r="AD87" s="346">
        <v>42356</v>
      </c>
      <c r="AE87" s="618">
        <f t="shared" ca="1" si="8"/>
        <v>-166</v>
      </c>
      <c r="AF87" s="339" t="s">
        <v>1763</v>
      </c>
    </row>
    <row r="88" spans="1:32" s="541" customFormat="1" ht="38.25" customHeight="1" x14ac:dyDescent="0.2">
      <c r="A88" s="646" t="s">
        <v>1756</v>
      </c>
      <c r="B88" s="339"/>
      <c r="C88" s="339" t="s">
        <v>1757</v>
      </c>
      <c r="D88" s="340" t="s">
        <v>1809</v>
      </c>
      <c r="E88" s="340" t="s">
        <v>1798</v>
      </c>
      <c r="F88" s="365" t="s">
        <v>314</v>
      </c>
      <c r="G88" s="673">
        <v>0</v>
      </c>
      <c r="H88" s="673">
        <v>0</v>
      </c>
      <c r="I88" s="673">
        <v>0</v>
      </c>
      <c r="J88" s="673">
        <v>0</v>
      </c>
      <c r="K88" s="673">
        <v>0</v>
      </c>
      <c r="L88" s="673">
        <v>0</v>
      </c>
      <c r="M88" s="673">
        <v>0</v>
      </c>
      <c r="N88" s="673">
        <v>0</v>
      </c>
      <c r="O88" s="673">
        <v>0</v>
      </c>
      <c r="P88" s="673">
        <v>0</v>
      </c>
      <c r="Q88" s="673">
        <v>0</v>
      </c>
      <c r="R88" s="673">
        <v>0</v>
      </c>
      <c r="S88" s="656">
        <f t="shared" si="7"/>
        <v>0</v>
      </c>
      <c r="T88" s="617">
        <f t="shared" ca="1" si="6"/>
        <v>-1661</v>
      </c>
      <c r="U88" s="611">
        <v>42721</v>
      </c>
      <c r="V88" s="345" t="s">
        <v>1822</v>
      </c>
      <c r="W88" s="612"/>
      <c r="X88" s="613"/>
      <c r="Y88" s="613"/>
      <c r="Z88" s="613"/>
      <c r="AA88" s="613"/>
      <c r="AB88" s="613"/>
      <c r="AC88" s="616">
        <v>42669</v>
      </c>
      <c r="AD88" s="346">
        <v>42356</v>
      </c>
      <c r="AE88" s="618">
        <f t="shared" ca="1" si="8"/>
        <v>-166</v>
      </c>
      <c r="AF88" s="339" t="s">
        <v>1763</v>
      </c>
    </row>
    <row r="89" spans="1:32" s="541" customFormat="1" ht="38.25" customHeight="1" x14ac:dyDescent="0.2">
      <c r="A89" s="646" t="s">
        <v>1756</v>
      </c>
      <c r="B89" s="339"/>
      <c r="C89" s="339" t="s">
        <v>1757</v>
      </c>
      <c r="D89" s="340" t="s">
        <v>1810</v>
      </c>
      <c r="E89" s="340" t="s">
        <v>1798</v>
      </c>
      <c r="F89" s="365" t="s">
        <v>314</v>
      </c>
      <c r="G89" s="673">
        <v>0</v>
      </c>
      <c r="H89" s="673">
        <v>0</v>
      </c>
      <c r="I89" s="673">
        <v>0</v>
      </c>
      <c r="J89" s="673">
        <v>0</v>
      </c>
      <c r="K89" s="673">
        <v>0</v>
      </c>
      <c r="L89" s="673">
        <v>0</v>
      </c>
      <c r="M89" s="673">
        <v>0</v>
      </c>
      <c r="N89" s="673">
        <v>0</v>
      </c>
      <c r="O89" s="673">
        <v>0</v>
      </c>
      <c r="P89" s="673">
        <v>0</v>
      </c>
      <c r="Q89" s="673">
        <v>0</v>
      </c>
      <c r="R89" s="673">
        <v>0</v>
      </c>
      <c r="S89" s="656">
        <f t="shared" si="7"/>
        <v>0</v>
      </c>
      <c r="T89" s="617">
        <f t="shared" ca="1" si="6"/>
        <v>-1661</v>
      </c>
      <c r="U89" s="611">
        <v>42721</v>
      </c>
      <c r="V89" s="345" t="s">
        <v>1822</v>
      </c>
      <c r="W89" s="612"/>
      <c r="X89" s="613"/>
      <c r="Y89" s="613"/>
      <c r="Z89" s="613"/>
      <c r="AA89" s="613"/>
      <c r="AB89" s="613"/>
      <c r="AC89" s="616">
        <v>42669</v>
      </c>
      <c r="AD89" s="346">
        <v>42356</v>
      </c>
      <c r="AE89" s="618">
        <f t="shared" ca="1" si="8"/>
        <v>-166</v>
      </c>
      <c r="AF89" s="339" t="s">
        <v>1763</v>
      </c>
    </row>
    <row r="90" spans="1:32" s="541" customFormat="1" ht="38.25" customHeight="1" x14ac:dyDescent="0.2">
      <c r="A90" s="646" t="s">
        <v>1756</v>
      </c>
      <c r="B90" s="339"/>
      <c r="C90" s="339" t="s">
        <v>1757</v>
      </c>
      <c r="D90" s="340" t="s">
        <v>1811</v>
      </c>
      <c r="E90" s="340" t="s">
        <v>1798</v>
      </c>
      <c r="F90" s="365" t="s">
        <v>314</v>
      </c>
      <c r="G90" s="673">
        <v>0</v>
      </c>
      <c r="H90" s="673">
        <v>0</v>
      </c>
      <c r="I90" s="673">
        <v>0</v>
      </c>
      <c r="J90" s="673">
        <v>0</v>
      </c>
      <c r="K90" s="673">
        <v>0</v>
      </c>
      <c r="L90" s="673">
        <v>0</v>
      </c>
      <c r="M90" s="673">
        <v>0</v>
      </c>
      <c r="N90" s="673">
        <v>0</v>
      </c>
      <c r="O90" s="673">
        <v>0</v>
      </c>
      <c r="P90" s="673">
        <v>0</v>
      </c>
      <c r="Q90" s="673">
        <v>0</v>
      </c>
      <c r="R90" s="673">
        <v>0</v>
      </c>
      <c r="S90" s="656">
        <f t="shared" si="7"/>
        <v>0</v>
      </c>
      <c r="T90" s="617">
        <f t="shared" ca="1" si="6"/>
        <v>-1661</v>
      </c>
      <c r="U90" s="611">
        <v>42721</v>
      </c>
      <c r="V90" s="345" t="s">
        <v>1822</v>
      </c>
      <c r="W90" s="612"/>
      <c r="X90" s="613"/>
      <c r="Y90" s="613"/>
      <c r="Z90" s="613"/>
      <c r="AA90" s="613"/>
      <c r="AB90" s="613"/>
      <c r="AC90" s="616">
        <v>42669</v>
      </c>
      <c r="AD90" s="346">
        <v>42356</v>
      </c>
      <c r="AE90" s="618">
        <f t="shared" ca="1" si="8"/>
        <v>-166</v>
      </c>
      <c r="AF90" s="339" t="s">
        <v>1763</v>
      </c>
    </row>
    <row r="91" spans="1:32" s="541" customFormat="1" ht="38.25" customHeight="1" x14ac:dyDescent="0.2">
      <c r="A91" s="646" t="s">
        <v>1756</v>
      </c>
      <c r="B91" s="339"/>
      <c r="C91" s="339" t="s">
        <v>1757</v>
      </c>
      <c r="D91" s="340" t="s">
        <v>1812</v>
      </c>
      <c r="E91" s="340" t="s">
        <v>1798</v>
      </c>
      <c r="F91" s="365" t="s">
        <v>314</v>
      </c>
      <c r="G91" s="673">
        <v>0</v>
      </c>
      <c r="H91" s="673">
        <v>0</v>
      </c>
      <c r="I91" s="673">
        <v>0</v>
      </c>
      <c r="J91" s="673">
        <v>0</v>
      </c>
      <c r="K91" s="673">
        <v>0</v>
      </c>
      <c r="L91" s="673">
        <v>0</v>
      </c>
      <c r="M91" s="673">
        <v>0</v>
      </c>
      <c r="N91" s="673">
        <v>0</v>
      </c>
      <c r="O91" s="673">
        <v>0</v>
      </c>
      <c r="P91" s="673">
        <v>0</v>
      </c>
      <c r="Q91" s="673">
        <v>0</v>
      </c>
      <c r="R91" s="673">
        <v>0</v>
      </c>
      <c r="S91" s="656">
        <f t="shared" si="7"/>
        <v>0</v>
      </c>
      <c r="T91" s="617">
        <f t="shared" ca="1" si="6"/>
        <v>-1661</v>
      </c>
      <c r="U91" s="611">
        <v>42721</v>
      </c>
      <c r="V91" s="345" t="s">
        <v>1822</v>
      </c>
      <c r="W91" s="612"/>
      <c r="X91" s="613"/>
      <c r="Y91" s="613"/>
      <c r="Z91" s="613"/>
      <c r="AA91" s="613"/>
      <c r="AB91" s="613"/>
      <c r="AC91" s="616">
        <v>42669</v>
      </c>
      <c r="AD91" s="346">
        <v>42356</v>
      </c>
      <c r="AE91" s="618">
        <f t="shared" ca="1" si="8"/>
        <v>-166</v>
      </c>
      <c r="AF91" s="339" t="s">
        <v>1763</v>
      </c>
    </row>
    <row r="92" spans="1:32" s="541" customFormat="1" ht="38.25" x14ac:dyDescent="0.2">
      <c r="A92" s="646" t="s">
        <v>1756</v>
      </c>
      <c r="B92" s="339"/>
      <c r="C92" s="339" t="s">
        <v>1757</v>
      </c>
      <c r="D92" s="340" t="s">
        <v>1813</v>
      </c>
      <c r="E92" s="340" t="s">
        <v>1798</v>
      </c>
      <c r="F92" s="365" t="s">
        <v>314</v>
      </c>
      <c r="G92" s="673">
        <v>0</v>
      </c>
      <c r="H92" s="673">
        <v>0</v>
      </c>
      <c r="I92" s="673">
        <v>0</v>
      </c>
      <c r="J92" s="673">
        <v>0</v>
      </c>
      <c r="K92" s="673">
        <v>0</v>
      </c>
      <c r="L92" s="673">
        <v>665</v>
      </c>
      <c r="M92" s="673">
        <v>0</v>
      </c>
      <c r="N92" s="673">
        <v>0</v>
      </c>
      <c r="O92" s="673">
        <v>0</v>
      </c>
      <c r="P92" s="673">
        <v>0</v>
      </c>
      <c r="Q92" s="673">
        <v>0</v>
      </c>
      <c r="R92" s="673">
        <v>0</v>
      </c>
      <c r="S92" s="656">
        <f t="shared" si="7"/>
        <v>665</v>
      </c>
      <c r="T92" s="617">
        <f t="shared" ref="T92:T132" ca="1" si="9">U92-$AE$3</f>
        <v>-1661</v>
      </c>
      <c r="U92" s="611">
        <v>42721</v>
      </c>
      <c r="V92" s="345" t="s">
        <v>1822</v>
      </c>
      <c r="W92" s="612"/>
      <c r="X92" s="613"/>
      <c r="Y92" s="613"/>
      <c r="Z92" s="613"/>
      <c r="AA92" s="613"/>
      <c r="AB92" s="613"/>
      <c r="AC92" s="616">
        <v>42669</v>
      </c>
      <c r="AD92" s="346">
        <v>42356</v>
      </c>
      <c r="AE92" s="618">
        <f t="shared" ca="1" si="8"/>
        <v>-166</v>
      </c>
      <c r="AF92" s="339" t="s">
        <v>1763</v>
      </c>
    </row>
    <row r="93" spans="1:32" s="541" customFormat="1" ht="38.25" x14ac:dyDescent="0.2">
      <c r="A93" s="646" t="s">
        <v>1756</v>
      </c>
      <c r="B93" s="339"/>
      <c r="C93" s="339" t="s">
        <v>1757</v>
      </c>
      <c r="D93" s="340" t="s">
        <v>125</v>
      </c>
      <c r="E93" s="340" t="s">
        <v>1798</v>
      </c>
      <c r="F93" s="365" t="s">
        <v>314</v>
      </c>
      <c r="G93" s="673">
        <v>0</v>
      </c>
      <c r="H93" s="673">
        <v>0</v>
      </c>
      <c r="I93" s="673">
        <v>0</v>
      </c>
      <c r="J93" s="673">
        <v>0</v>
      </c>
      <c r="K93" s="673">
        <v>0</v>
      </c>
      <c r="L93" s="673">
        <v>0</v>
      </c>
      <c r="M93" s="673">
        <v>0</v>
      </c>
      <c r="N93" s="673">
        <v>0</v>
      </c>
      <c r="O93" s="673">
        <v>0</v>
      </c>
      <c r="P93" s="673">
        <v>0</v>
      </c>
      <c r="Q93" s="673">
        <v>570</v>
      </c>
      <c r="R93" s="673">
        <v>0</v>
      </c>
      <c r="S93" s="656">
        <f t="shared" si="7"/>
        <v>570</v>
      </c>
      <c r="T93" s="617">
        <f t="shared" ca="1" si="9"/>
        <v>-1661</v>
      </c>
      <c r="U93" s="611">
        <v>42721</v>
      </c>
      <c r="V93" s="345" t="s">
        <v>1822</v>
      </c>
      <c r="W93" s="612"/>
      <c r="X93" s="613"/>
      <c r="Y93" s="613"/>
      <c r="Z93" s="613"/>
      <c r="AA93" s="613"/>
      <c r="AB93" s="613"/>
      <c r="AC93" s="616">
        <v>42669</v>
      </c>
      <c r="AD93" s="346">
        <v>42356</v>
      </c>
      <c r="AE93" s="618">
        <f t="shared" ca="1" si="8"/>
        <v>-166</v>
      </c>
      <c r="AF93" s="339" t="s">
        <v>1763</v>
      </c>
    </row>
    <row r="94" spans="1:32" s="541" customFormat="1" ht="38.25" x14ac:dyDescent="0.2">
      <c r="A94" s="646" t="s">
        <v>1756</v>
      </c>
      <c r="B94" s="339"/>
      <c r="C94" s="339" t="s">
        <v>1757</v>
      </c>
      <c r="D94" s="340" t="s">
        <v>1814</v>
      </c>
      <c r="E94" s="340" t="s">
        <v>1798</v>
      </c>
      <c r="F94" s="365" t="s">
        <v>314</v>
      </c>
      <c r="G94" s="673">
        <v>0</v>
      </c>
      <c r="H94" s="673">
        <v>0</v>
      </c>
      <c r="I94" s="673">
        <v>0</v>
      </c>
      <c r="J94" s="673">
        <v>855</v>
      </c>
      <c r="K94" s="673">
        <v>0</v>
      </c>
      <c r="L94" s="673">
        <v>475</v>
      </c>
      <c r="M94" s="673">
        <v>665</v>
      </c>
      <c r="N94" s="673">
        <v>0</v>
      </c>
      <c r="O94" s="673">
        <v>0</v>
      </c>
      <c r="P94" s="673">
        <v>0</v>
      </c>
      <c r="Q94" s="673">
        <v>2517.5</v>
      </c>
      <c r="R94" s="673">
        <v>0</v>
      </c>
      <c r="S94" s="656">
        <f t="shared" si="7"/>
        <v>4512.5</v>
      </c>
      <c r="T94" s="617">
        <f t="shared" ca="1" si="9"/>
        <v>-1661</v>
      </c>
      <c r="U94" s="611">
        <v>42721</v>
      </c>
      <c r="V94" s="345" t="s">
        <v>1822</v>
      </c>
      <c r="W94" s="612"/>
      <c r="X94" s="613"/>
      <c r="Y94" s="613"/>
      <c r="Z94" s="613"/>
      <c r="AA94" s="613"/>
      <c r="AB94" s="613"/>
      <c r="AC94" s="616">
        <v>42669</v>
      </c>
      <c r="AD94" s="346">
        <v>42356</v>
      </c>
      <c r="AE94" s="618">
        <f t="shared" ca="1" si="8"/>
        <v>-166</v>
      </c>
      <c r="AF94" s="339" t="s">
        <v>1763</v>
      </c>
    </row>
    <row r="95" spans="1:32" s="541" customFormat="1" ht="38.25" x14ac:dyDescent="0.2">
      <c r="A95" s="646" t="s">
        <v>1756</v>
      </c>
      <c r="B95" s="339"/>
      <c r="C95" s="339" t="s">
        <v>1757</v>
      </c>
      <c r="D95" s="340" t="s">
        <v>1815</v>
      </c>
      <c r="E95" s="340" t="s">
        <v>1798</v>
      </c>
      <c r="F95" s="365" t="s">
        <v>314</v>
      </c>
      <c r="G95" s="673">
        <v>0</v>
      </c>
      <c r="H95" s="673">
        <v>0</v>
      </c>
      <c r="I95" s="673">
        <v>0</v>
      </c>
      <c r="J95" s="673">
        <v>0</v>
      </c>
      <c r="K95" s="673">
        <v>0</v>
      </c>
      <c r="L95" s="673">
        <v>95</v>
      </c>
      <c r="M95" s="673">
        <v>0</v>
      </c>
      <c r="N95" s="673">
        <v>0</v>
      </c>
      <c r="O95" s="673">
        <v>0</v>
      </c>
      <c r="P95" s="673">
        <v>0</v>
      </c>
      <c r="Q95" s="673">
        <v>0</v>
      </c>
      <c r="R95" s="673">
        <v>0</v>
      </c>
      <c r="S95" s="656">
        <f t="shared" si="7"/>
        <v>95</v>
      </c>
      <c r="T95" s="617">
        <f t="shared" ca="1" si="9"/>
        <v>-1661</v>
      </c>
      <c r="U95" s="611">
        <v>42721</v>
      </c>
      <c r="V95" s="345" t="s">
        <v>1822</v>
      </c>
      <c r="W95" s="612"/>
      <c r="X95" s="613"/>
      <c r="Y95" s="613"/>
      <c r="Z95" s="613"/>
      <c r="AA95" s="613"/>
      <c r="AB95" s="613"/>
      <c r="AC95" s="616">
        <v>42669</v>
      </c>
      <c r="AD95" s="346">
        <v>42356</v>
      </c>
      <c r="AE95" s="618">
        <f t="shared" ca="1" si="8"/>
        <v>-166</v>
      </c>
      <c r="AF95" s="339" t="s">
        <v>1763</v>
      </c>
    </row>
    <row r="96" spans="1:32" s="541" customFormat="1" ht="36.75" customHeight="1" x14ac:dyDescent="0.2">
      <c r="A96" s="646" t="s">
        <v>1756</v>
      </c>
      <c r="B96" s="339"/>
      <c r="C96" s="339" t="s">
        <v>1757</v>
      </c>
      <c r="D96" s="340" t="s">
        <v>1816</v>
      </c>
      <c r="E96" s="340" t="s">
        <v>1798</v>
      </c>
      <c r="F96" s="365" t="s">
        <v>314</v>
      </c>
      <c r="G96" s="673">
        <v>0</v>
      </c>
      <c r="H96" s="673">
        <v>0</v>
      </c>
      <c r="I96" s="673">
        <v>0</v>
      </c>
      <c r="J96" s="673">
        <v>0</v>
      </c>
      <c r="K96" s="673">
        <v>0</v>
      </c>
      <c r="L96" s="673">
        <v>0</v>
      </c>
      <c r="M96" s="673">
        <v>0</v>
      </c>
      <c r="N96" s="673">
        <v>0</v>
      </c>
      <c r="O96" s="673">
        <v>0</v>
      </c>
      <c r="P96" s="673">
        <v>0</v>
      </c>
      <c r="Q96" s="673">
        <v>760</v>
      </c>
      <c r="R96" s="673">
        <v>0</v>
      </c>
      <c r="S96" s="656">
        <f t="shared" si="7"/>
        <v>760</v>
      </c>
      <c r="T96" s="617">
        <f t="shared" ca="1" si="9"/>
        <v>-1661</v>
      </c>
      <c r="U96" s="611">
        <v>42721</v>
      </c>
      <c r="V96" s="345" t="s">
        <v>1822</v>
      </c>
      <c r="W96" s="612"/>
      <c r="X96" s="613"/>
      <c r="Y96" s="613"/>
      <c r="Z96" s="613"/>
      <c r="AA96" s="613"/>
      <c r="AB96" s="613"/>
      <c r="AC96" s="616">
        <v>42669</v>
      </c>
      <c r="AD96" s="346">
        <v>42356</v>
      </c>
      <c r="AE96" s="618">
        <f t="shared" ca="1" si="8"/>
        <v>-166</v>
      </c>
      <c r="AF96" s="339" t="s">
        <v>1763</v>
      </c>
    </row>
    <row r="97" spans="1:32" s="541" customFormat="1" ht="38.25" customHeight="1" x14ac:dyDescent="0.2">
      <c r="A97" s="646" t="s">
        <v>1756</v>
      </c>
      <c r="B97" s="339"/>
      <c r="C97" s="339" t="s">
        <v>1757</v>
      </c>
      <c r="D97" s="340" t="s">
        <v>1817</v>
      </c>
      <c r="E97" s="340" t="s">
        <v>1798</v>
      </c>
      <c r="F97" s="365" t="s">
        <v>314</v>
      </c>
      <c r="G97" s="673">
        <v>0</v>
      </c>
      <c r="H97" s="673">
        <v>0</v>
      </c>
      <c r="I97" s="673">
        <v>0</v>
      </c>
      <c r="J97" s="673">
        <v>0</v>
      </c>
      <c r="K97" s="673">
        <v>0</v>
      </c>
      <c r="L97" s="673">
        <v>0</v>
      </c>
      <c r="M97" s="673">
        <v>0</v>
      </c>
      <c r="N97" s="673">
        <v>0</v>
      </c>
      <c r="O97" s="673">
        <v>0</v>
      </c>
      <c r="P97" s="673">
        <v>0</v>
      </c>
      <c r="Q97" s="673">
        <v>0</v>
      </c>
      <c r="R97" s="673">
        <v>0</v>
      </c>
      <c r="S97" s="656">
        <f t="shared" si="7"/>
        <v>0</v>
      </c>
      <c r="T97" s="617">
        <f t="shared" ca="1" si="9"/>
        <v>-1661</v>
      </c>
      <c r="U97" s="611">
        <v>42721</v>
      </c>
      <c r="V97" s="345" t="s">
        <v>1822</v>
      </c>
      <c r="W97" s="612"/>
      <c r="X97" s="613"/>
      <c r="Y97" s="613"/>
      <c r="Z97" s="613"/>
      <c r="AA97" s="613"/>
      <c r="AB97" s="613"/>
      <c r="AC97" s="616">
        <v>42669</v>
      </c>
      <c r="AD97" s="346">
        <v>42356</v>
      </c>
      <c r="AE97" s="618">
        <f t="shared" ca="1" si="8"/>
        <v>-166</v>
      </c>
      <c r="AF97" s="339" t="s">
        <v>1763</v>
      </c>
    </row>
    <row r="98" spans="1:32" s="541" customFormat="1" ht="38.25" customHeight="1" x14ac:dyDescent="0.2">
      <c r="A98" s="646" t="s">
        <v>1756</v>
      </c>
      <c r="B98" s="339"/>
      <c r="C98" s="339" t="s">
        <v>1757</v>
      </c>
      <c r="D98" s="340" t="s">
        <v>1818</v>
      </c>
      <c r="E98" s="340" t="s">
        <v>1798</v>
      </c>
      <c r="F98" s="365" t="s">
        <v>314</v>
      </c>
      <c r="G98" s="673">
        <v>0</v>
      </c>
      <c r="H98" s="673">
        <v>0</v>
      </c>
      <c r="I98" s="673">
        <v>0</v>
      </c>
      <c r="J98" s="673">
        <v>0</v>
      </c>
      <c r="K98" s="673">
        <v>0</v>
      </c>
      <c r="L98" s="673">
        <v>0</v>
      </c>
      <c r="M98" s="673">
        <v>0</v>
      </c>
      <c r="N98" s="673">
        <v>0</v>
      </c>
      <c r="O98" s="673">
        <v>0</v>
      </c>
      <c r="P98" s="673">
        <v>0</v>
      </c>
      <c r="Q98" s="673">
        <v>0</v>
      </c>
      <c r="R98" s="673">
        <v>0</v>
      </c>
      <c r="S98" s="656">
        <f t="shared" si="7"/>
        <v>0</v>
      </c>
      <c r="T98" s="617">
        <f t="shared" ca="1" si="9"/>
        <v>-1661</v>
      </c>
      <c r="U98" s="611">
        <v>42721</v>
      </c>
      <c r="V98" s="345" t="s">
        <v>1822</v>
      </c>
      <c r="W98" s="612"/>
      <c r="X98" s="613"/>
      <c r="Y98" s="613"/>
      <c r="Z98" s="613"/>
      <c r="AA98" s="613"/>
      <c r="AB98" s="613"/>
      <c r="AC98" s="616">
        <v>42669</v>
      </c>
      <c r="AD98" s="346">
        <v>42356</v>
      </c>
      <c r="AE98" s="618">
        <f t="shared" ca="1" si="8"/>
        <v>-166</v>
      </c>
      <c r="AF98" s="339" t="s">
        <v>1763</v>
      </c>
    </row>
    <row r="99" spans="1:32" s="541" customFormat="1" ht="38.25" customHeight="1" x14ac:dyDescent="0.2">
      <c r="A99" s="646" t="s">
        <v>1756</v>
      </c>
      <c r="B99" s="339"/>
      <c r="C99" s="339" t="s">
        <v>1757</v>
      </c>
      <c r="D99" s="340" t="s">
        <v>1819</v>
      </c>
      <c r="E99" s="340" t="s">
        <v>1798</v>
      </c>
      <c r="F99" s="365" t="s">
        <v>314</v>
      </c>
      <c r="G99" s="673">
        <v>0</v>
      </c>
      <c r="H99" s="673">
        <v>0</v>
      </c>
      <c r="I99" s="673">
        <v>0</v>
      </c>
      <c r="J99" s="673">
        <v>0</v>
      </c>
      <c r="K99" s="673">
        <v>0</v>
      </c>
      <c r="L99" s="673">
        <v>0</v>
      </c>
      <c r="M99" s="673">
        <v>0</v>
      </c>
      <c r="N99" s="673">
        <v>0</v>
      </c>
      <c r="O99" s="673">
        <v>0</v>
      </c>
      <c r="P99" s="673">
        <v>0</v>
      </c>
      <c r="Q99" s="673">
        <v>0</v>
      </c>
      <c r="R99" s="673">
        <v>0</v>
      </c>
      <c r="S99" s="656">
        <f t="shared" si="7"/>
        <v>0</v>
      </c>
      <c r="T99" s="617">
        <f t="shared" ca="1" si="9"/>
        <v>-1661</v>
      </c>
      <c r="U99" s="611">
        <v>42721</v>
      </c>
      <c r="V99" s="345" t="s">
        <v>1822</v>
      </c>
      <c r="W99" s="612"/>
      <c r="X99" s="613"/>
      <c r="Y99" s="613"/>
      <c r="Z99" s="613"/>
      <c r="AA99" s="613"/>
      <c r="AB99" s="613"/>
      <c r="AC99" s="616">
        <v>42669</v>
      </c>
      <c r="AD99" s="346">
        <v>42356</v>
      </c>
      <c r="AE99" s="618">
        <f t="shared" ca="1" si="8"/>
        <v>-166</v>
      </c>
      <c r="AF99" s="339" t="s">
        <v>1763</v>
      </c>
    </row>
    <row r="100" spans="1:32" s="541" customFormat="1" ht="38.25" customHeight="1" x14ac:dyDescent="0.2">
      <c r="A100" s="646" t="s">
        <v>1756</v>
      </c>
      <c r="B100" s="339"/>
      <c r="C100" s="339" t="s">
        <v>1757</v>
      </c>
      <c r="D100" s="340" t="s">
        <v>1820</v>
      </c>
      <c r="E100" s="340" t="s">
        <v>1798</v>
      </c>
      <c r="F100" s="365" t="s">
        <v>314</v>
      </c>
      <c r="G100" s="673">
        <v>0</v>
      </c>
      <c r="H100" s="673">
        <v>0</v>
      </c>
      <c r="I100" s="673">
        <v>0</v>
      </c>
      <c r="J100" s="673">
        <v>0</v>
      </c>
      <c r="K100" s="673">
        <v>0</v>
      </c>
      <c r="L100" s="673">
        <v>0</v>
      </c>
      <c r="M100" s="673">
        <v>0</v>
      </c>
      <c r="N100" s="673">
        <v>0</v>
      </c>
      <c r="O100" s="673">
        <v>0</v>
      </c>
      <c r="P100" s="673">
        <v>0</v>
      </c>
      <c r="Q100" s="673">
        <v>0</v>
      </c>
      <c r="R100" s="673">
        <v>0</v>
      </c>
      <c r="S100" s="656">
        <f t="shared" si="7"/>
        <v>0</v>
      </c>
      <c r="T100" s="617">
        <f t="shared" ca="1" si="9"/>
        <v>-1661</v>
      </c>
      <c r="U100" s="611">
        <v>42721</v>
      </c>
      <c r="V100" s="345" t="s">
        <v>1822</v>
      </c>
      <c r="W100" s="612"/>
      <c r="X100" s="613"/>
      <c r="Y100" s="613"/>
      <c r="Z100" s="613"/>
      <c r="AA100" s="613"/>
      <c r="AB100" s="613"/>
      <c r="AC100" s="616">
        <v>42669</v>
      </c>
      <c r="AD100" s="346">
        <v>42356</v>
      </c>
      <c r="AE100" s="618">
        <f t="shared" ca="1" si="8"/>
        <v>-166</v>
      </c>
      <c r="AF100" s="339" t="s">
        <v>1763</v>
      </c>
    </row>
    <row r="101" spans="1:32" s="541" customFormat="1" ht="38.25" customHeight="1" x14ac:dyDescent="0.2">
      <c r="A101" s="646" t="s">
        <v>1756</v>
      </c>
      <c r="B101" s="339"/>
      <c r="C101" s="339" t="s">
        <v>1757</v>
      </c>
      <c r="D101" s="340" t="s">
        <v>1821</v>
      </c>
      <c r="E101" s="340" t="s">
        <v>1798</v>
      </c>
      <c r="F101" s="365" t="s">
        <v>314</v>
      </c>
      <c r="G101" s="673">
        <v>0</v>
      </c>
      <c r="H101" s="673">
        <v>0</v>
      </c>
      <c r="I101" s="673">
        <v>0</v>
      </c>
      <c r="J101" s="673">
        <v>0</v>
      </c>
      <c r="K101" s="673">
        <v>0</v>
      </c>
      <c r="L101" s="673">
        <v>0</v>
      </c>
      <c r="M101" s="673">
        <v>0</v>
      </c>
      <c r="N101" s="673">
        <v>0</v>
      </c>
      <c r="O101" s="673">
        <v>0</v>
      </c>
      <c r="P101" s="673">
        <v>0</v>
      </c>
      <c r="Q101" s="673">
        <v>0</v>
      </c>
      <c r="R101" s="673">
        <v>0</v>
      </c>
      <c r="S101" s="656">
        <f t="shared" si="7"/>
        <v>0</v>
      </c>
      <c r="T101" s="617">
        <f t="shared" ca="1" si="9"/>
        <v>-1661</v>
      </c>
      <c r="U101" s="611">
        <v>42721</v>
      </c>
      <c r="V101" s="345" t="s">
        <v>1822</v>
      </c>
      <c r="W101" s="612"/>
      <c r="X101" s="613"/>
      <c r="Y101" s="613"/>
      <c r="Z101" s="613"/>
      <c r="AA101" s="613"/>
      <c r="AB101" s="613"/>
      <c r="AC101" s="616">
        <v>42669</v>
      </c>
      <c r="AD101" s="346">
        <v>42356</v>
      </c>
      <c r="AE101" s="618">
        <f t="shared" ca="1" si="8"/>
        <v>-166</v>
      </c>
      <c r="AF101" s="339" t="s">
        <v>1763</v>
      </c>
    </row>
    <row r="102" spans="1:32" s="541" customFormat="1" ht="38.25" x14ac:dyDescent="0.2">
      <c r="A102" s="646" t="s">
        <v>1756</v>
      </c>
      <c r="B102" s="339"/>
      <c r="C102" s="339" t="s">
        <v>1757</v>
      </c>
      <c r="D102" s="340" t="s">
        <v>1824</v>
      </c>
      <c r="E102" s="340" t="s">
        <v>1798</v>
      </c>
      <c r="F102" s="365" t="s">
        <v>314</v>
      </c>
      <c r="G102" s="673">
        <v>0</v>
      </c>
      <c r="H102" s="673">
        <v>0</v>
      </c>
      <c r="I102" s="673">
        <v>0</v>
      </c>
      <c r="J102" s="673">
        <v>0</v>
      </c>
      <c r="K102" s="673">
        <v>0</v>
      </c>
      <c r="L102" s="673">
        <v>3500</v>
      </c>
      <c r="M102" s="673">
        <v>0</v>
      </c>
      <c r="N102" s="673">
        <v>0</v>
      </c>
      <c r="O102" s="673">
        <v>0</v>
      </c>
      <c r="P102" s="673">
        <v>0</v>
      </c>
      <c r="Q102" s="673">
        <v>0</v>
      </c>
      <c r="R102" s="673">
        <v>0</v>
      </c>
      <c r="S102" s="656">
        <f t="shared" si="7"/>
        <v>3500</v>
      </c>
      <c r="T102" s="617">
        <f t="shared" ca="1" si="9"/>
        <v>-1661</v>
      </c>
      <c r="U102" s="611">
        <v>42721</v>
      </c>
      <c r="V102" s="345" t="s">
        <v>1822</v>
      </c>
      <c r="W102" s="612"/>
      <c r="X102" s="613"/>
      <c r="Y102" s="613"/>
      <c r="Z102" s="613"/>
      <c r="AA102" s="613"/>
      <c r="AB102" s="613"/>
      <c r="AC102" s="616">
        <v>42669</v>
      </c>
      <c r="AD102" s="346">
        <v>42356</v>
      </c>
      <c r="AE102" s="618">
        <f t="shared" ca="1" si="8"/>
        <v>-166</v>
      </c>
      <c r="AF102" s="339" t="s">
        <v>1763</v>
      </c>
    </row>
    <row r="103" spans="1:32" s="541" customFormat="1" ht="38.25" customHeight="1" x14ac:dyDescent="0.2">
      <c r="A103" s="646" t="s">
        <v>1756</v>
      </c>
      <c r="B103" s="339"/>
      <c r="C103" s="339" t="s">
        <v>1757</v>
      </c>
      <c r="D103" s="340" t="s">
        <v>1825</v>
      </c>
      <c r="E103" s="340" t="s">
        <v>1798</v>
      </c>
      <c r="F103" s="365" t="s">
        <v>314</v>
      </c>
      <c r="G103" s="673">
        <v>0</v>
      </c>
      <c r="H103" s="673">
        <v>0</v>
      </c>
      <c r="I103" s="673">
        <v>0</v>
      </c>
      <c r="J103" s="673">
        <v>0</v>
      </c>
      <c r="K103" s="673">
        <v>0</v>
      </c>
      <c r="L103" s="673">
        <v>0</v>
      </c>
      <c r="M103" s="673">
        <v>0</v>
      </c>
      <c r="N103" s="673">
        <v>0</v>
      </c>
      <c r="O103" s="673">
        <v>0</v>
      </c>
      <c r="P103" s="673">
        <v>0</v>
      </c>
      <c r="Q103" s="673">
        <v>0</v>
      </c>
      <c r="R103" s="673">
        <v>0</v>
      </c>
      <c r="S103" s="656">
        <f t="shared" si="7"/>
        <v>0</v>
      </c>
      <c r="T103" s="617">
        <f t="shared" ca="1" si="9"/>
        <v>-1661</v>
      </c>
      <c r="U103" s="611">
        <v>42721</v>
      </c>
      <c r="V103" s="345" t="s">
        <v>1822</v>
      </c>
      <c r="W103" s="612"/>
      <c r="X103" s="613"/>
      <c r="Y103" s="613"/>
      <c r="Z103" s="613"/>
      <c r="AA103" s="613"/>
      <c r="AB103" s="613"/>
      <c r="AC103" s="616">
        <v>42669</v>
      </c>
      <c r="AD103" s="346">
        <v>42356</v>
      </c>
      <c r="AE103" s="618">
        <f t="shared" ca="1" si="8"/>
        <v>-166</v>
      </c>
      <c r="AF103" s="339" t="s">
        <v>1763</v>
      </c>
    </row>
    <row r="104" spans="1:32" s="541" customFormat="1" ht="38.25" customHeight="1" x14ac:dyDescent="0.2">
      <c r="A104" s="646" t="s">
        <v>1756</v>
      </c>
      <c r="B104" s="339"/>
      <c r="C104" s="339" t="s">
        <v>1757</v>
      </c>
      <c r="D104" s="340" t="s">
        <v>1826</v>
      </c>
      <c r="E104" s="340" t="s">
        <v>1798</v>
      </c>
      <c r="F104" s="365" t="s">
        <v>314</v>
      </c>
      <c r="G104" s="673">
        <v>0</v>
      </c>
      <c r="H104" s="673">
        <v>0</v>
      </c>
      <c r="I104" s="673">
        <v>0</v>
      </c>
      <c r="J104" s="673">
        <v>0</v>
      </c>
      <c r="K104" s="673">
        <v>0</v>
      </c>
      <c r="L104" s="673">
        <v>0</v>
      </c>
      <c r="M104" s="673">
        <v>0</v>
      </c>
      <c r="N104" s="673">
        <v>0</v>
      </c>
      <c r="O104" s="673">
        <v>0</v>
      </c>
      <c r="P104" s="673">
        <v>0</v>
      </c>
      <c r="Q104" s="673">
        <v>0</v>
      </c>
      <c r="R104" s="673">
        <v>0</v>
      </c>
      <c r="S104" s="656">
        <f t="shared" si="7"/>
        <v>0</v>
      </c>
      <c r="T104" s="617">
        <f t="shared" ca="1" si="9"/>
        <v>-1661</v>
      </c>
      <c r="U104" s="611">
        <v>42721</v>
      </c>
      <c r="V104" s="345" t="s">
        <v>1822</v>
      </c>
      <c r="W104" s="612"/>
      <c r="X104" s="613"/>
      <c r="Y104" s="613"/>
      <c r="Z104" s="613"/>
      <c r="AA104" s="613"/>
      <c r="AB104" s="613"/>
      <c r="AC104" s="616">
        <v>42669</v>
      </c>
      <c r="AD104" s="346">
        <v>42356</v>
      </c>
      <c r="AE104" s="618">
        <f t="shared" ca="1" si="8"/>
        <v>-166</v>
      </c>
      <c r="AF104" s="339" t="s">
        <v>1763</v>
      </c>
    </row>
    <row r="105" spans="1:32" s="541" customFormat="1" ht="38.25" x14ac:dyDescent="0.2">
      <c r="A105" s="646" t="s">
        <v>1756</v>
      </c>
      <c r="B105" s="339"/>
      <c r="C105" s="339" t="s">
        <v>1757</v>
      </c>
      <c r="D105" s="340" t="s">
        <v>1827</v>
      </c>
      <c r="E105" s="340" t="s">
        <v>1798</v>
      </c>
      <c r="F105" s="365" t="s">
        <v>314</v>
      </c>
      <c r="G105" s="673">
        <v>0</v>
      </c>
      <c r="H105" s="673">
        <v>0</v>
      </c>
      <c r="I105" s="673">
        <v>0</v>
      </c>
      <c r="J105" s="673">
        <v>0</v>
      </c>
      <c r="K105" s="673">
        <v>0</v>
      </c>
      <c r="L105" s="673">
        <v>0</v>
      </c>
      <c r="M105" s="673">
        <v>285</v>
      </c>
      <c r="N105" s="673">
        <v>0</v>
      </c>
      <c r="O105" s="673">
        <v>0</v>
      </c>
      <c r="P105" s="673">
        <v>1425</v>
      </c>
      <c r="Q105" s="673">
        <v>0</v>
      </c>
      <c r="R105" s="673">
        <v>0</v>
      </c>
      <c r="S105" s="656">
        <f t="shared" si="7"/>
        <v>1710</v>
      </c>
      <c r="T105" s="617">
        <f t="shared" ca="1" si="9"/>
        <v>-1661</v>
      </c>
      <c r="U105" s="611">
        <v>42721</v>
      </c>
      <c r="V105" s="345" t="s">
        <v>1822</v>
      </c>
      <c r="W105" s="612"/>
      <c r="X105" s="613"/>
      <c r="Y105" s="613"/>
      <c r="Z105" s="613"/>
      <c r="AA105" s="613"/>
      <c r="AB105" s="613"/>
      <c r="AC105" s="616">
        <v>42669</v>
      </c>
      <c r="AD105" s="346">
        <v>42356</v>
      </c>
      <c r="AE105" s="618">
        <f t="shared" ca="1" si="8"/>
        <v>-166</v>
      </c>
      <c r="AF105" s="339" t="s">
        <v>1763</v>
      </c>
    </row>
    <row r="106" spans="1:32" s="541" customFormat="1" ht="38.25" customHeight="1" x14ac:dyDescent="0.2">
      <c r="A106" s="646" t="s">
        <v>1756</v>
      </c>
      <c r="B106" s="339"/>
      <c r="C106" s="339" t="s">
        <v>1757</v>
      </c>
      <c r="D106" s="340" t="s">
        <v>1828</v>
      </c>
      <c r="E106" s="340" t="s">
        <v>1798</v>
      </c>
      <c r="F106" s="365" t="s">
        <v>314</v>
      </c>
      <c r="G106" s="673">
        <v>0</v>
      </c>
      <c r="H106" s="673">
        <v>0</v>
      </c>
      <c r="I106" s="673">
        <v>0</v>
      </c>
      <c r="J106" s="673">
        <v>0</v>
      </c>
      <c r="K106" s="673">
        <v>0</v>
      </c>
      <c r="L106" s="673">
        <v>0</v>
      </c>
      <c r="M106" s="673">
        <v>0</v>
      </c>
      <c r="N106" s="673">
        <v>0</v>
      </c>
      <c r="O106" s="673">
        <v>0</v>
      </c>
      <c r="P106" s="673">
        <v>0</v>
      </c>
      <c r="Q106" s="673">
        <v>0</v>
      </c>
      <c r="R106" s="673">
        <v>0</v>
      </c>
      <c r="S106" s="656">
        <v>0</v>
      </c>
      <c r="T106" s="617">
        <v>0</v>
      </c>
      <c r="U106" s="611">
        <v>0</v>
      </c>
      <c r="V106" s="345" t="s">
        <v>1822</v>
      </c>
      <c r="W106" s="612"/>
      <c r="X106" s="613"/>
      <c r="Y106" s="613"/>
      <c r="Z106" s="613"/>
      <c r="AA106" s="613"/>
      <c r="AB106" s="613"/>
      <c r="AC106" s="616">
        <v>42669</v>
      </c>
      <c r="AD106" s="346">
        <v>42356</v>
      </c>
      <c r="AE106" s="618">
        <f t="shared" ca="1" si="8"/>
        <v>-166</v>
      </c>
      <c r="AF106" s="339" t="s">
        <v>1763</v>
      </c>
    </row>
    <row r="107" spans="1:32" s="541" customFormat="1" ht="38.25" x14ac:dyDescent="0.2">
      <c r="A107" s="646" t="s">
        <v>1756</v>
      </c>
      <c r="B107" s="339"/>
      <c r="C107" s="339" t="s">
        <v>1757</v>
      </c>
      <c r="D107" s="340" t="s">
        <v>1829</v>
      </c>
      <c r="E107" s="340" t="s">
        <v>1798</v>
      </c>
      <c r="F107" s="365" t="s">
        <v>314</v>
      </c>
      <c r="G107" s="673">
        <v>0</v>
      </c>
      <c r="H107" s="673">
        <v>0</v>
      </c>
      <c r="I107" s="673">
        <v>0</v>
      </c>
      <c r="J107" s="673">
        <v>0</v>
      </c>
      <c r="K107" s="673">
        <v>0</v>
      </c>
      <c r="L107" s="673">
        <v>0</v>
      </c>
      <c r="M107" s="673">
        <v>0</v>
      </c>
      <c r="N107" s="673">
        <v>0</v>
      </c>
      <c r="O107" s="673">
        <v>0</v>
      </c>
      <c r="P107" s="673">
        <v>0</v>
      </c>
      <c r="Q107" s="673">
        <v>300</v>
      </c>
      <c r="R107" s="673">
        <v>0</v>
      </c>
      <c r="S107" s="656">
        <f t="shared" si="7"/>
        <v>300</v>
      </c>
      <c r="T107" s="617">
        <f t="shared" ca="1" si="9"/>
        <v>-1661</v>
      </c>
      <c r="U107" s="611">
        <v>42721</v>
      </c>
      <c r="V107" s="345" t="s">
        <v>1822</v>
      </c>
      <c r="W107" s="612"/>
      <c r="X107" s="613"/>
      <c r="Y107" s="613"/>
      <c r="Z107" s="613"/>
      <c r="AA107" s="613"/>
      <c r="AB107" s="613"/>
      <c r="AC107" s="616">
        <v>42669</v>
      </c>
      <c r="AD107" s="346">
        <v>42356</v>
      </c>
      <c r="AE107" s="618">
        <f t="shared" ca="1" si="8"/>
        <v>-166</v>
      </c>
      <c r="AF107" s="339" t="s">
        <v>1763</v>
      </c>
    </row>
    <row r="108" spans="1:32" s="541" customFormat="1" ht="38.25" x14ac:dyDescent="0.2">
      <c r="A108" s="646" t="s">
        <v>1756</v>
      </c>
      <c r="B108" s="339"/>
      <c r="C108" s="339" t="s">
        <v>1757</v>
      </c>
      <c r="D108" s="340" t="s">
        <v>1830</v>
      </c>
      <c r="E108" s="340" t="s">
        <v>1798</v>
      </c>
      <c r="F108" s="365" t="s">
        <v>314</v>
      </c>
      <c r="G108" s="673">
        <v>0</v>
      </c>
      <c r="H108" s="673">
        <v>0</v>
      </c>
      <c r="I108" s="673">
        <v>0</v>
      </c>
      <c r="J108" s="673">
        <v>0</v>
      </c>
      <c r="K108" s="673">
        <v>0</v>
      </c>
      <c r="L108" s="673">
        <v>150</v>
      </c>
      <c r="M108" s="673">
        <v>0</v>
      </c>
      <c r="N108" s="673">
        <v>0</v>
      </c>
      <c r="O108" s="673">
        <v>0</v>
      </c>
      <c r="P108" s="673">
        <v>0</v>
      </c>
      <c r="Q108" s="673">
        <v>100</v>
      </c>
      <c r="R108" s="673">
        <v>0</v>
      </c>
      <c r="S108" s="656">
        <f t="shared" si="7"/>
        <v>250</v>
      </c>
      <c r="T108" s="617">
        <f t="shared" ca="1" si="9"/>
        <v>-1661</v>
      </c>
      <c r="U108" s="611">
        <v>42721</v>
      </c>
      <c r="V108" s="345" t="s">
        <v>1822</v>
      </c>
      <c r="W108" s="612"/>
      <c r="X108" s="613"/>
      <c r="Y108" s="613"/>
      <c r="Z108" s="613"/>
      <c r="AA108" s="613"/>
      <c r="AB108" s="613"/>
      <c r="AC108" s="616">
        <v>42669</v>
      </c>
      <c r="AD108" s="346">
        <v>42356</v>
      </c>
      <c r="AE108" s="618">
        <f t="shared" ca="1" si="8"/>
        <v>-166</v>
      </c>
      <c r="AF108" s="339" t="s">
        <v>1763</v>
      </c>
    </row>
    <row r="109" spans="1:32" s="541" customFormat="1" ht="38.25" customHeight="1" x14ac:dyDescent="0.2">
      <c r="A109" s="646" t="s">
        <v>1756</v>
      </c>
      <c r="B109" s="339"/>
      <c r="C109" s="339" t="s">
        <v>1757</v>
      </c>
      <c r="D109" s="340" t="s">
        <v>1831</v>
      </c>
      <c r="E109" s="340" t="s">
        <v>1798</v>
      </c>
      <c r="F109" s="365" t="s">
        <v>314</v>
      </c>
      <c r="G109" s="673">
        <v>0</v>
      </c>
      <c r="H109" s="673">
        <v>0</v>
      </c>
      <c r="I109" s="673">
        <v>0</v>
      </c>
      <c r="J109" s="673">
        <v>0</v>
      </c>
      <c r="K109" s="673">
        <v>0</v>
      </c>
      <c r="L109" s="673">
        <v>0</v>
      </c>
      <c r="M109" s="673">
        <v>0</v>
      </c>
      <c r="N109" s="673">
        <v>0</v>
      </c>
      <c r="O109" s="673">
        <v>0</v>
      </c>
      <c r="P109" s="673">
        <v>0</v>
      </c>
      <c r="Q109" s="673">
        <v>0</v>
      </c>
      <c r="R109" s="673">
        <v>0</v>
      </c>
      <c r="S109" s="656">
        <f t="shared" si="7"/>
        <v>0</v>
      </c>
      <c r="T109" s="617">
        <f t="shared" ca="1" si="9"/>
        <v>-1661</v>
      </c>
      <c r="U109" s="611">
        <v>42721</v>
      </c>
      <c r="V109" s="345" t="s">
        <v>1822</v>
      </c>
      <c r="W109" s="612"/>
      <c r="X109" s="613"/>
      <c r="Y109" s="613"/>
      <c r="Z109" s="613"/>
      <c r="AA109" s="613"/>
      <c r="AB109" s="613"/>
      <c r="AC109" s="616">
        <v>42669</v>
      </c>
      <c r="AD109" s="346">
        <v>42356</v>
      </c>
      <c r="AE109" s="618">
        <f t="shared" ca="1" si="8"/>
        <v>-166</v>
      </c>
      <c r="AF109" s="339" t="s">
        <v>1763</v>
      </c>
    </row>
    <row r="110" spans="1:32" s="541" customFormat="1" ht="38.25" x14ac:dyDescent="0.2">
      <c r="A110" s="646" t="s">
        <v>1756</v>
      </c>
      <c r="B110" s="339"/>
      <c r="C110" s="339" t="s">
        <v>1757</v>
      </c>
      <c r="D110" s="340" t="s">
        <v>1832</v>
      </c>
      <c r="E110" s="340" t="s">
        <v>1798</v>
      </c>
      <c r="F110" s="365" t="s">
        <v>314</v>
      </c>
      <c r="G110" s="673">
        <v>0</v>
      </c>
      <c r="H110" s="673">
        <v>0</v>
      </c>
      <c r="I110" s="673">
        <v>0</v>
      </c>
      <c r="J110" s="673">
        <v>0</v>
      </c>
      <c r="K110" s="673">
        <v>0</v>
      </c>
      <c r="L110" s="673">
        <v>100</v>
      </c>
      <c r="M110" s="673">
        <v>0</v>
      </c>
      <c r="N110" s="673">
        <v>0</v>
      </c>
      <c r="O110" s="673">
        <v>0</v>
      </c>
      <c r="P110" s="673">
        <v>0</v>
      </c>
      <c r="Q110" s="673">
        <v>300</v>
      </c>
      <c r="R110" s="673">
        <v>0</v>
      </c>
      <c r="S110" s="656">
        <f t="shared" si="7"/>
        <v>400</v>
      </c>
      <c r="T110" s="617">
        <f t="shared" ca="1" si="9"/>
        <v>-1661</v>
      </c>
      <c r="U110" s="611">
        <v>42721</v>
      </c>
      <c r="V110" s="345" t="s">
        <v>1822</v>
      </c>
      <c r="W110" s="612"/>
      <c r="X110" s="613"/>
      <c r="Y110" s="613"/>
      <c r="Z110" s="613"/>
      <c r="AA110" s="613"/>
      <c r="AB110" s="613"/>
      <c r="AC110" s="616">
        <v>42669</v>
      </c>
      <c r="AD110" s="346">
        <v>42356</v>
      </c>
      <c r="AE110" s="618">
        <f t="shared" ca="1" si="8"/>
        <v>-166</v>
      </c>
      <c r="AF110" s="339" t="s">
        <v>1763</v>
      </c>
    </row>
    <row r="111" spans="1:32" s="541" customFormat="1" ht="38.25" customHeight="1" x14ac:dyDescent="0.2">
      <c r="A111" s="646" t="s">
        <v>1756</v>
      </c>
      <c r="B111" s="339"/>
      <c r="C111" s="339" t="s">
        <v>1757</v>
      </c>
      <c r="D111" s="340" t="s">
        <v>1833</v>
      </c>
      <c r="E111" s="340" t="s">
        <v>1798</v>
      </c>
      <c r="F111" s="365" t="s">
        <v>314</v>
      </c>
      <c r="G111" s="673">
        <v>0</v>
      </c>
      <c r="H111" s="673">
        <v>0</v>
      </c>
      <c r="I111" s="673">
        <v>0</v>
      </c>
      <c r="J111" s="673">
        <v>0</v>
      </c>
      <c r="K111" s="673">
        <v>0</v>
      </c>
      <c r="L111" s="673">
        <v>0</v>
      </c>
      <c r="M111" s="673">
        <v>0</v>
      </c>
      <c r="N111" s="673">
        <v>0</v>
      </c>
      <c r="O111" s="673">
        <v>0</v>
      </c>
      <c r="P111" s="673">
        <v>0</v>
      </c>
      <c r="Q111" s="673">
        <v>0</v>
      </c>
      <c r="R111" s="673">
        <v>0</v>
      </c>
      <c r="S111" s="656">
        <f t="shared" si="7"/>
        <v>0</v>
      </c>
      <c r="T111" s="617">
        <f t="shared" ca="1" si="9"/>
        <v>-1661</v>
      </c>
      <c r="U111" s="611">
        <v>42721</v>
      </c>
      <c r="V111" s="345" t="s">
        <v>1822</v>
      </c>
      <c r="W111" s="612"/>
      <c r="X111" s="613"/>
      <c r="Y111" s="613"/>
      <c r="Z111" s="613"/>
      <c r="AA111" s="613"/>
      <c r="AB111" s="613"/>
      <c r="AC111" s="616">
        <v>42669</v>
      </c>
      <c r="AD111" s="346">
        <v>42356</v>
      </c>
      <c r="AE111" s="618">
        <f t="shared" ca="1" si="8"/>
        <v>-166</v>
      </c>
      <c r="AF111" s="339" t="s">
        <v>1763</v>
      </c>
    </row>
    <row r="112" spans="1:32" s="541" customFormat="1" ht="51" x14ac:dyDescent="0.2">
      <c r="A112" s="646" t="s">
        <v>1756</v>
      </c>
      <c r="B112" s="339"/>
      <c r="C112" s="339" t="s">
        <v>1757</v>
      </c>
      <c r="D112" s="340" t="s">
        <v>1834</v>
      </c>
      <c r="E112" s="340" t="s">
        <v>1798</v>
      </c>
      <c r="F112" s="365" t="s">
        <v>314</v>
      </c>
      <c r="G112" s="673">
        <v>0</v>
      </c>
      <c r="H112" s="673">
        <v>0</v>
      </c>
      <c r="I112" s="673">
        <v>0</v>
      </c>
      <c r="J112" s="673">
        <v>0</v>
      </c>
      <c r="K112" s="673">
        <v>0</v>
      </c>
      <c r="L112" s="673">
        <v>0</v>
      </c>
      <c r="M112" s="673">
        <v>0</v>
      </c>
      <c r="N112" s="673">
        <v>0</v>
      </c>
      <c r="O112" s="673">
        <v>0</v>
      </c>
      <c r="P112" s="673">
        <v>0</v>
      </c>
      <c r="Q112" s="673">
        <v>0</v>
      </c>
      <c r="R112" s="673">
        <v>0</v>
      </c>
      <c r="S112" s="656">
        <f t="shared" si="7"/>
        <v>0</v>
      </c>
      <c r="T112" s="617">
        <f t="shared" ca="1" si="9"/>
        <v>-1661</v>
      </c>
      <c r="U112" s="611">
        <v>42721</v>
      </c>
      <c r="V112" s="345" t="s">
        <v>1822</v>
      </c>
      <c r="W112" s="612"/>
      <c r="X112" s="613"/>
      <c r="Y112" s="613"/>
      <c r="Z112" s="613"/>
      <c r="AA112" s="613"/>
      <c r="AB112" s="613"/>
      <c r="AC112" s="616">
        <v>42669</v>
      </c>
      <c r="AD112" s="346">
        <v>42356</v>
      </c>
      <c r="AE112" s="618">
        <f t="shared" ca="1" si="8"/>
        <v>-166</v>
      </c>
      <c r="AF112" s="339" t="s">
        <v>1763</v>
      </c>
    </row>
    <row r="113" spans="1:32" s="541" customFormat="1" ht="38.25" x14ac:dyDescent="0.2">
      <c r="A113" s="646" t="s">
        <v>1839</v>
      </c>
      <c r="B113" s="339" t="s">
        <v>1840</v>
      </c>
      <c r="C113" s="339"/>
      <c r="D113" s="340" t="s">
        <v>1841</v>
      </c>
      <c r="E113" s="340" t="s">
        <v>1842</v>
      </c>
      <c r="F113" s="365">
        <v>11533.68</v>
      </c>
      <c r="G113" s="673">
        <v>0</v>
      </c>
      <c r="H113" s="673">
        <v>0</v>
      </c>
      <c r="I113" s="673">
        <v>914.82</v>
      </c>
      <c r="J113" s="673">
        <v>914.82</v>
      </c>
      <c r="K113" s="673">
        <v>966.93</v>
      </c>
      <c r="L113" s="673">
        <v>723.75</v>
      </c>
      <c r="M113" s="673">
        <v>86.85</v>
      </c>
      <c r="N113" s="673">
        <v>0</v>
      </c>
      <c r="O113" s="673">
        <v>0</v>
      </c>
      <c r="P113" s="673">
        <v>0</v>
      </c>
      <c r="Q113" s="673">
        <v>0</v>
      </c>
      <c r="R113" s="673">
        <v>0</v>
      </c>
      <c r="S113" s="656">
        <f t="shared" si="7"/>
        <v>3607.17</v>
      </c>
      <c r="T113" s="617">
        <f t="shared" ca="1" si="9"/>
        <v>-1644</v>
      </c>
      <c r="U113" s="611">
        <v>42738</v>
      </c>
      <c r="V113" s="345" t="s">
        <v>1843</v>
      </c>
      <c r="W113" s="612"/>
      <c r="X113" s="613"/>
      <c r="Y113" s="613"/>
      <c r="Z113" s="613"/>
      <c r="AA113" s="613"/>
      <c r="AB113" s="613"/>
      <c r="AC113" s="616">
        <v>42681</v>
      </c>
      <c r="AD113" s="346">
        <v>42373</v>
      </c>
      <c r="AE113" s="618">
        <f t="shared" ca="1" si="8"/>
        <v>-183</v>
      </c>
      <c r="AF113" s="339" t="s">
        <v>48</v>
      </c>
    </row>
    <row r="114" spans="1:32" s="541" customFormat="1" ht="38.25" x14ac:dyDescent="0.2">
      <c r="A114" s="646" t="s">
        <v>1844</v>
      </c>
      <c r="B114" s="339" t="s">
        <v>1845</v>
      </c>
      <c r="C114" s="339"/>
      <c r="D114" s="340" t="s">
        <v>171</v>
      </c>
      <c r="E114" s="340" t="s">
        <v>1846</v>
      </c>
      <c r="F114" s="365" t="s">
        <v>1847</v>
      </c>
      <c r="G114" s="673">
        <v>0</v>
      </c>
      <c r="H114" s="673">
        <v>9173.75</v>
      </c>
      <c r="I114" s="673">
        <v>1275.96</v>
      </c>
      <c r="J114" s="673">
        <v>1344.72</v>
      </c>
      <c r="K114" s="673">
        <v>1478.8</v>
      </c>
      <c r="L114" s="673">
        <v>843.91</v>
      </c>
      <c r="M114" s="673">
        <v>1068.4100000000001</v>
      </c>
      <c r="N114" s="673">
        <v>2145.9699999999998</v>
      </c>
      <c r="O114" s="673">
        <v>648.01</v>
      </c>
      <c r="P114" s="673">
        <v>1579.9099999999999</v>
      </c>
      <c r="Q114" s="673">
        <v>1688.77</v>
      </c>
      <c r="R114" s="673">
        <v>696.4</v>
      </c>
      <c r="S114" s="656">
        <f>SUM(G114:R114)</f>
        <v>21944.609999999997</v>
      </c>
      <c r="T114" s="617">
        <f t="shared" ca="1" si="9"/>
        <v>-1643</v>
      </c>
      <c r="U114" s="611">
        <v>42739</v>
      </c>
      <c r="V114" s="345" t="s">
        <v>1848</v>
      </c>
      <c r="W114" s="612"/>
      <c r="X114" s="613"/>
      <c r="Y114" s="613"/>
      <c r="Z114" s="613"/>
      <c r="AA114" s="613"/>
      <c r="AB114" s="613"/>
      <c r="AC114" s="616">
        <v>42681</v>
      </c>
      <c r="AD114" s="346">
        <v>42374</v>
      </c>
      <c r="AE114" s="618">
        <f t="shared" ca="1" si="8"/>
        <v>-184</v>
      </c>
      <c r="AF114" s="339" t="s">
        <v>54</v>
      </c>
    </row>
    <row r="115" spans="1:32" s="541" customFormat="1" ht="38.25" customHeight="1" x14ac:dyDescent="0.2">
      <c r="A115" s="646" t="s">
        <v>1756</v>
      </c>
      <c r="B115" s="339"/>
      <c r="C115" s="339" t="s">
        <v>1757</v>
      </c>
      <c r="D115" s="340" t="s">
        <v>1849</v>
      </c>
      <c r="E115" s="340" t="s">
        <v>1798</v>
      </c>
      <c r="F115" s="365" t="s">
        <v>314</v>
      </c>
      <c r="G115" s="673">
        <v>0</v>
      </c>
      <c r="H115" s="673">
        <v>0</v>
      </c>
      <c r="I115" s="673">
        <v>0</v>
      </c>
      <c r="J115" s="673">
        <v>0</v>
      </c>
      <c r="K115" s="673">
        <v>0</v>
      </c>
      <c r="L115" s="673">
        <v>0</v>
      </c>
      <c r="M115" s="673">
        <v>0</v>
      </c>
      <c r="N115" s="673">
        <v>0</v>
      </c>
      <c r="O115" s="673">
        <v>0</v>
      </c>
      <c r="P115" s="673">
        <v>0</v>
      </c>
      <c r="Q115" s="673">
        <v>0</v>
      </c>
      <c r="R115" s="673">
        <v>0</v>
      </c>
      <c r="S115" s="656">
        <f t="shared" si="7"/>
        <v>0</v>
      </c>
      <c r="T115" s="617">
        <f t="shared" ca="1" si="9"/>
        <v>-1651</v>
      </c>
      <c r="U115" s="611">
        <v>42731</v>
      </c>
      <c r="V115" s="345" t="s">
        <v>1850</v>
      </c>
      <c r="W115" s="612"/>
      <c r="X115" s="613"/>
      <c r="Y115" s="613"/>
      <c r="Z115" s="613"/>
      <c r="AA115" s="613"/>
      <c r="AB115" s="613"/>
      <c r="AC115" s="616">
        <v>42669</v>
      </c>
      <c r="AD115" s="346">
        <v>42366</v>
      </c>
      <c r="AE115" s="618">
        <f t="shared" ca="1" si="8"/>
        <v>-176</v>
      </c>
      <c r="AF115" s="339" t="s">
        <v>1763</v>
      </c>
    </row>
    <row r="116" spans="1:32" s="541" customFormat="1" ht="38.25" customHeight="1" x14ac:dyDescent="0.2">
      <c r="A116" s="646" t="s">
        <v>1756</v>
      </c>
      <c r="B116" s="339"/>
      <c r="C116" s="339" t="s">
        <v>1757</v>
      </c>
      <c r="D116" s="340" t="s">
        <v>1851</v>
      </c>
      <c r="E116" s="340" t="s">
        <v>1798</v>
      </c>
      <c r="F116" s="365" t="s">
        <v>314</v>
      </c>
      <c r="G116" s="673">
        <v>0</v>
      </c>
      <c r="H116" s="673">
        <v>0</v>
      </c>
      <c r="I116" s="673">
        <v>0</v>
      </c>
      <c r="J116" s="673">
        <v>0</v>
      </c>
      <c r="K116" s="673">
        <v>0</v>
      </c>
      <c r="L116" s="673">
        <v>0</v>
      </c>
      <c r="M116" s="673">
        <v>0</v>
      </c>
      <c r="N116" s="673">
        <v>0</v>
      </c>
      <c r="O116" s="673">
        <v>0</v>
      </c>
      <c r="P116" s="673">
        <v>0</v>
      </c>
      <c r="Q116" s="673">
        <v>0</v>
      </c>
      <c r="R116" s="673">
        <v>0</v>
      </c>
      <c r="S116" s="656">
        <f t="shared" si="7"/>
        <v>0</v>
      </c>
      <c r="T116" s="617">
        <f t="shared" ca="1" si="9"/>
        <v>-1651</v>
      </c>
      <c r="U116" s="611">
        <v>42731</v>
      </c>
      <c r="V116" s="345" t="s">
        <v>1850</v>
      </c>
      <c r="W116" s="612"/>
      <c r="X116" s="613"/>
      <c r="Y116" s="613"/>
      <c r="Z116" s="613"/>
      <c r="AA116" s="613"/>
      <c r="AB116" s="613"/>
      <c r="AC116" s="616">
        <v>42669</v>
      </c>
      <c r="AD116" s="346">
        <v>42366</v>
      </c>
      <c r="AE116" s="618">
        <f t="shared" ca="1" si="8"/>
        <v>-176</v>
      </c>
      <c r="AF116" s="339" t="s">
        <v>1763</v>
      </c>
    </row>
    <row r="117" spans="1:32" s="541" customFormat="1" ht="38.25" customHeight="1" x14ac:dyDescent="0.2">
      <c r="A117" s="646" t="s">
        <v>1756</v>
      </c>
      <c r="B117" s="339"/>
      <c r="C117" s="339" t="s">
        <v>1757</v>
      </c>
      <c r="D117" s="340" t="s">
        <v>1852</v>
      </c>
      <c r="E117" s="340" t="s">
        <v>1798</v>
      </c>
      <c r="F117" s="365" t="s">
        <v>314</v>
      </c>
      <c r="G117" s="673">
        <v>0</v>
      </c>
      <c r="H117" s="673">
        <v>0</v>
      </c>
      <c r="I117" s="673">
        <v>0</v>
      </c>
      <c r="J117" s="673">
        <v>0</v>
      </c>
      <c r="K117" s="673">
        <v>0</v>
      </c>
      <c r="L117" s="673">
        <v>0</v>
      </c>
      <c r="M117" s="673">
        <v>0</v>
      </c>
      <c r="N117" s="673">
        <v>0</v>
      </c>
      <c r="O117" s="673">
        <v>0</v>
      </c>
      <c r="P117" s="673">
        <v>0</v>
      </c>
      <c r="Q117" s="673">
        <v>0</v>
      </c>
      <c r="R117" s="673">
        <v>0</v>
      </c>
      <c r="S117" s="656">
        <f t="shared" si="7"/>
        <v>0</v>
      </c>
      <c r="T117" s="617">
        <f t="shared" ca="1" si="9"/>
        <v>-1651</v>
      </c>
      <c r="U117" s="611">
        <v>42731</v>
      </c>
      <c r="V117" s="345" t="s">
        <v>1850</v>
      </c>
      <c r="W117" s="612"/>
      <c r="X117" s="613"/>
      <c r="Y117" s="613"/>
      <c r="Z117" s="613"/>
      <c r="AA117" s="613"/>
      <c r="AB117" s="613"/>
      <c r="AC117" s="616">
        <v>42669</v>
      </c>
      <c r="AD117" s="346">
        <v>42366</v>
      </c>
      <c r="AE117" s="618">
        <f t="shared" ca="1" si="8"/>
        <v>-176</v>
      </c>
      <c r="AF117" s="339" t="s">
        <v>1763</v>
      </c>
    </row>
    <row r="118" spans="1:32" s="541" customFormat="1" ht="38.25" customHeight="1" x14ac:dyDescent="0.2">
      <c r="A118" s="646" t="s">
        <v>1756</v>
      </c>
      <c r="B118" s="339"/>
      <c r="C118" s="339" t="s">
        <v>1757</v>
      </c>
      <c r="D118" s="340" t="s">
        <v>1853</v>
      </c>
      <c r="E118" s="340" t="s">
        <v>1798</v>
      </c>
      <c r="F118" s="365" t="s">
        <v>314</v>
      </c>
      <c r="G118" s="673">
        <v>0</v>
      </c>
      <c r="H118" s="673">
        <v>0</v>
      </c>
      <c r="I118" s="673">
        <v>0</v>
      </c>
      <c r="J118" s="673">
        <v>0</v>
      </c>
      <c r="K118" s="673">
        <v>0</v>
      </c>
      <c r="L118" s="673">
        <v>0</v>
      </c>
      <c r="M118" s="673">
        <v>0</v>
      </c>
      <c r="N118" s="673">
        <v>0</v>
      </c>
      <c r="O118" s="673">
        <v>0</v>
      </c>
      <c r="P118" s="673">
        <v>0</v>
      </c>
      <c r="Q118" s="673">
        <v>0</v>
      </c>
      <c r="R118" s="673">
        <v>0</v>
      </c>
      <c r="S118" s="656">
        <f t="shared" si="7"/>
        <v>0</v>
      </c>
      <c r="T118" s="617">
        <f t="shared" ca="1" si="9"/>
        <v>-1651</v>
      </c>
      <c r="U118" s="611">
        <v>42731</v>
      </c>
      <c r="V118" s="345" t="s">
        <v>1850</v>
      </c>
      <c r="W118" s="612"/>
      <c r="X118" s="613"/>
      <c r="Y118" s="613"/>
      <c r="Z118" s="613"/>
      <c r="AA118" s="613"/>
      <c r="AB118" s="613"/>
      <c r="AC118" s="616">
        <v>42669</v>
      </c>
      <c r="AD118" s="346">
        <v>42366</v>
      </c>
      <c r="AE118" s="618">
        <f t="shared" ref="AE118:AE138" ca="1" si="10">TODAY()-DATE(YEAR(AD118)+6,MONTH(AD118),DAY(AD118))</f>
        <v>-176</v>
      </c>
      <c r="AF118" s="339" t="s">
        <v>1763</v>
      </c>
    </row>
    <row r="119" spans="1:32" s="541" customFormat="1" ht="38.25" customHeight="1" x14ac:dyDescent="0.2">
      <c r="A119" s="646" t="s">
        <v>1756</v>
      </c>
      <c r="B119" s="339"/>
      <c r="C119" s="339" t="s">
        <v>1757</v>
      </c>
      <c r="D119" s="340" t="s">
        <v>1854</v>
      </c>
      <c r="E119" s="340" t="s">
        <v>1798</v>
      </c>
      <c r="F119" s="365" t="s">
        <v>314</v>
      </c>
      <c r="G119" s="673">
        <v>0</v>
      </c>
      <c r="H119" s="673">
        <v>0</v>
      </c>
      <c r="I119" s="673">
        <v>0</v>
      </c>
      <c r="J119" s="673">
        <v>0</v>
      </c>
      <c r="K119" s="673">
        <v>0</v>
      </c>
      <c r="L119" s="673">
        <v>0</v>
      </c>
      <c r="M119" s="673">
        <v>0</v>
      </c>
      <c r="N119" s="673">
        <v>0</v>
      </c>
      <c r="O119" s="673">
        <v>0</v>
      </c>
      <c r="P119" s="673">
        <v>0</v>
      </c>
      <c r="Q119" s="673">
        <v>0</v>
      </c>
      <c r="R119" s="673">
        <v>0</v>
      </c>
      <c r="S119" s="656">
        <f t="shared" si="7"/>
        <v>0</v>
      </c>
      <c r="T119" s="617">
        <f t="shared" ca="1" si="9"/>
        <v>-1651</v>
      </c>
      <c r="U119" s="611">
        <v>42731</v>
      </c>
      <c r="V119" s="345" t="s">
        <v>1850</v>
      </c>
      <c r="W119" s="612"/>
      <c r="X119" s="613"/>
      <c r="Y119" s="613"/>
      <c r="Z119" s="613"/>
      <c r="AA119" s="613"/>
      <c r="AB119" s="613"/>
      <c r="AC119" s="616">
        <v>42669</v>
      </c>
      <c r="AD119" s="346">
        <v>42366</v>
      </c>
      <c r="AE119" s="618">
        <f t="shared" ca="1" si="10"/>
        <v>-176</v>
      </c>
      <c r="AF119" s="339" t="s">
        <v>1763</v>
      </c>
    </row>
    <row r="120" spans="1:32" s="541" customFormat="1" ht="38.25" x14ac:dyDescent="0.2">
      <c r="A120" s="646" t="s">
        <v>1756</v>
      </c>
      <c r="B120" s="339"/>
      <c r="C120" s="339" t="s">
        <v>1757</v>
      </c>
      <c r="D120" s="340" t="s">
        <v>1855</v>
      </c>
      <c r="E120" s="340" t="s">
        <v>1798</v>
      </c>
      <c r="F120" s="365" t="s">
        <v>314</v>
      </c>
      <c r="G120" s="673">
        <v>0</v>
      </c>
      <c r="H120" s="673">
        <v>0</v>
      </c>
      <c r="I120" s="673">
        <v>0</v>
      </c>
      <c r="J120" s="673">
        <v>0</v>
      </c>
      <c r="K120" s="673">
        <v>0</v>
      </c>
      <c r="L120" s="673">
        <v>0</v>
      </c>
      <c r="M120" s="673">
        <v>0</v>
      </c>
      <c r="N120" s="673">
        <v>0</v>
      </c>
      <c r="O120" s="673">
        <v>0</v>
      </c>
      <c r="P120" s="673">
        <v>0</v>
      </c>
      <c r="Q120" s="673">
        <v>680</v>
      </c>
      <c r="R120" s="673">
        <v>0</v>
      </c>
      <c r="S120" s="656">
        <f t="shared" si="7"/>
        <v>680</v>
      </c>
      <c r="T120" s="610">
        <f t="shared" ca="1" si="9"/>
        <v>-1572</v>
      </c>
      <c r="U120" s="611">
        <v>42810</v>
      </c>
      <c r="V120" s="615" t="s">
        <v>1856</v>
      </c>
      <c r="W120" s="612"/>
      <c r="X120" s="613"/>
      <c r="Y120" s="613"/>
      <c r="Z120" s="613"/>
      <c r="AA120" s="613"/>
      <c r="AB120" s="613"/>
      <c r="AC120" s="616">
        <v>42751</v>
      </c>
      <c r="AD120" s="346">
        <v>42446</v>
      </c>
      <c r="AE120" s="614">
        <f t="shared" ca="1" si="10"/>
        <v>-255</v>
      </c>
      <c r="AF120" s="339" t="s">
        <v>1763</v>
      </c>
    </row>
    <row r="121" spans="1:32" s="541" customFormat="1" ht="51" x14ac:dyDescent="0.2">
      <c r="A121" s="646" t="s">
        <v>1857</v>
      </c>
      <c r="B121" s="339"/>
      <c r="C121" s="339" t="s">
        <v>1858</v>
      </c>
      <c r="D121" s="340" t="s">
        <v>1654</v>
      </c>
      <c r="E121" s="340" t="s">
        <v>1859</v>
      </c>
      <c r="F121" s="365" t="s">
        <v>1861</v>
      </c>
      <c r="G121" s="673">
        <v>0</v>
      </c>
      <c r="H121" s="673">
        <v>0</v>
      </c>
      <c r="I121" s="673">
        <v>74100</v>
      </c>
      <c r="J121" s="673">
        <v>0</v>
      </c>
      <c r="K121" s="673">
        <v>0</v>
      </c>
      <c r="L121" s="673">
        <v>0</v>
      </c>
      <c r="M121" s="673">
        <v>0</v>
      </c>
      <c r="N121" s="673">
        <v>0</v>
      </c>
      <c r="O121" s="673">
        <v>0</v>
      </c>
      <c r="P121" s="673">
        <v>0</v>
      </c>
      <c r="Q121" s="673">
        <v>0</v>
      </c>
      <c r="R121" s="673">
        <v>0</v>
      </c>
      <c r="S121" s="656">
        <f t="shared" si="7"/>
        <v>74100</v>
      </c>
      <c r="T121" s="617">
        <f t="shared" ca="1" si="9"/>
        <v>-841</v>
      </c>
      <c r="U121" s="611">
        <v>43541</v>
      </c>
      <c r="V121" s="345" t="s">
        <v>1862</v>
      </c>
      <c r="W121" s="612"/>
      <c r="X121" s="613"/>
      <c r="Y121" s="613"/>
      <c r="Z121" s="613"/>
      <c r="AA121" s="613"/>
      <c r="AB121" s="613"/>
      <c r="AC121" s="616"/>
      <c r="AD121" s="346">
        <v>42447</v>
      </c>
      <c r="AE121" s="618">
        <f t="shared" ca="1" si="10"/>
        <v>-256</v>
      </c>
      <c r="AF121" s="339" t="s">
        <v>41</v>
      </c>
    </row>
    <row r="122" spans="1:32" s="541" customFormat="1" ht="51" x14ac:dyDescent="0.2">
      <c r="A122" s="646" t="s">
        <v>1756</v>
      </c>
      <c r="B122" s="339"/>
      <c r="C122" s="339" t="s">
        <v>1757</v>
      </c>
      <c r="D122" s="340" t="s">
        <v>1868</v>
      </c>
      <c r="E122" s="340" t="s">
        <v>1798</v>
      </c>
      <c r="F122" s="365">
        <v>0</v>
      </c>
      <c r="G122" s="673">
        <v>0</v>
      </c>
      <c r="H122" s="673">
        <v>0</v>
      </c>
      <c r="I122" s="673">
        <v>0</v>
      </c>
      <c r="J122" s="673">
        <v>0</v>
      </c>
      <c r="K122" s="673">
        <v>0</v>
      </c>
      <c r="L122" s="673">
        <v>0</v>
      </c>
      <c r="M122" s="673">
        <v>0</v>
      </c>
      <c r="N122" s="673">
        <v>0</v>
      </c>
      <c r="O122" s="673">
        <v>0</v>
      </c>
      <c r="P122" s="673">
        <v>0</v>
      </c>
      <c r="Q122" s="673">
        <v>0</v>
      </c>
      <c r="R122" s="673">
        <v>0</v>
      </c>
      <c r="S122" s="656">
        <f t="shared" si="7"/>
        <v>0</v>
      </c>
      <c r="T122" s="617">
        <f t="shared" ca="1" si="9"/>
        <v>-1533</v>
      </c>
      <c r="U122" s="611">
        <v>42849</v>
      </c>
      <c r="V122" s="345" t="s">
        <v>1869</v>
      </c>
      <c r="W122" s="612"/>
      <c r="X122" s="613"/>
      <c r="Y122" s="613"/>
      <c r="Z122" s="613"/>
      <c r="AA122" s="613"/>
      <c r="AB122" s="613"/>
      <c r="AC122" s="616"/>
      <c r="AD122" s="346">
        <v>42485</v>
      </c>
      <c r="AE122" s="618">
        <f t="shared" ca="1" si="10"/>
        <v>-294</v>
      </c>
      <c r="AF122" s="339" t="s">
        <v>1763</v>
      </c>
    </row>
    <row r="123" spans="1:32" s="541" customFormat="1" ht="38.25" customHeight="1" x14ac:dyDescent="0.2">
      <c r="A123" s="646" t="s">
        <v>1756</v>
      </c>
      <c r="B123" s="339"/>
      <c r="C123" s="339" t="s">
        <v>1757</v>
      </c>
      <c r="D123" s="340" t="s">
        <v>1870</v>
      </c>
      <c r="E123" s="340" t="s">
        <v>1798</v>
      </c>
      <c r="F123" s="365">
        <v>0</v>
      </c>
      <c r="G123" s="673">
        <v>0</v>
      </c>
      <c r="H123" s="673">
        <v>0</v>
      </c>
      <c r="I123" s="673">
        <v>0</v>
      </c>
      <c r="J123" s="673">
        <v>0</v>
      </c>
      <c r="K123" s="673">
        <v>0</v>
      </c>
      <c r="L123" s="673">
        <v>0</v>
      </c>
      <c r="M123" s="673">
        <v>0</v>
      </c>
      <c r="N123" s="673">
        <v>0</v>
      </c>
      <c r="O123" s="673">
        <v>0</v>
      </c>
      <c r="P123" s="673">
        <v>0</v>
      </c>
      <c r="Q123" s="673">
        <v>0</v>
      </c>
      <c r="R123" s="673">
        <v>0</v>
      </c>
      <c r="S123" s="656">
        <f t="shared" ref="S123:S162" si="11">SUM(G123:R123)</f>
        <v>0</v>
      </c>
      <c r="T123" s="617">
        <f ca="1">U123-$AE$3</f>
        <v>-1553</v>
      </c>
      <c r="U123" s="611">
        <v>42829</v>
      </c>
      <c r="V123" s="345" t="s">
        <v>1869</v>
      </c>
      <c r="W123" s="612"/>
      <c r="X123" s="613"/>
      <c r="Y123" s="613"/>
      <c r="Z123" s="613"/>
      <c r="AA123" s="613"/>
      <c r="AB123" s="613"/>
      <c r="AC123" s="616"/>
      <c r="AD123" s="346">
        <v>42485</v>
      </c>
      <c r="AE123" s="618">
        <f t="shared" ca="1" si="10"/>
        <v>-294</v>
      </c>
      <c r="AF123" s="339" t="s">
        <v>1763</v>
      </c>
    </row>
    <row r="124" spans="1:32" s="541" customFormat="1" ht="38.25" customHeight="1" x14ac:dyDescent="0.2">
      <c r="A124" s="646" t="s">
        <v>1756</v>
      </c>
      <c r="B124" s="339"/>
      <c r="C124" s="339" t="s">
        <v>1757</v>
      </c>
      <c r="D124" s="340" t="s">
        <v>1874</v>
      </c>
      <c r="E124" s="340" t="s">
        <v>1798</v>
      </c>
      <c r="F124" s="365">
        <v>0</v>
      </c>
      <c r="G124" s="673">
        <v>0</v>
      </c>
      <c r="H124" s="673">
        <v>0</v>
      </c>
      <c r="I124" s="673">
        <v>0</v>
      </c>
      <c r="J124" s="673">
        <v>0</v>
      </c>
      <c r="K124" s="673">
        <v>0</v>
      </c>
      <c r="L124" s="673">
        <v>0</v>
      </c>
      <c r="M124" s="673">
        <v>0</v>
      </c>
      <c r="N124" s="673">
        <v>0</v>
      </c>
      <c r="O124" s="673">
        <v>0</v>
      </c>
      <c r="P124" s="673">
        <v>0</v>
      </c>
      <c r="Q124" s="673">
        <v>0</v>
      </c>
      <c r="R124" s="673">
        <v>0</v>
      </c>
      <c r="S124" s="656">
        <f t="shared" si="11"/>
        <v>0</v>
      </c>
      <c r="T124" s="617">
        <f ca="1">U124-$AE$3</f>
        <v>-1526</v>
      </c>
      <c r="U124" s="611">
        <v>42856</v>
      </c>
      <c r="V124" s="345" t="s">
        <v>1876</v>
      </c>
      <c r="W124" s="612"/>
      <c r="X124" s="613"/>
      <c r="Y124" s="613"/>
      <c r="Z124" s="613"/>
      <c r="AA124" s="613"/>
      <c r="AB124" s="613"/>
      <c r="AC124" s="616"/>
      <c r="AD124" s="346">
        <v>42492</v>
      </c>
      <c r="AE124" s="618">
        <f t="shared" ca="1" si="10"/>
        <v>-301</v>
      </c>
      <c r="AF124" s="339" t="s">
        <v>1763</v>
      </c>
    </row>
    <row r="125" spans="1:32" s="541" customFormat="1" ht="38.25" customHeight="1" x14ac:dyDescent="0.2">
      <c r="A125" s="646" t="s">
        <v>1756</v>
      </c>
      <c r="B125" s="339"/>
      <c r="C125" s="339" t="s">
        <v>1757</v>
      </c>
      <c r="D125" s="340" t="s">
        <v>1875</v>
      </c>
      <c r="E125" s="340" t="s">
        <v>1798</v>
      </c>
      <c r="F125" s="365">
        <v>0</v>
      </c>
      <c r="G125" s="673">
        <v>0</v>
      </c>
      <c r="H125" s="673">
        <v>0</v>
      </c>
      <c r="I125" s="673">
        <v>0</v>
      </c>
      <c r="J125" s="673">
        <v>0</v>
      </c>
      <c r="K125" s="673">
        <v>0</v>
      </c>
      <c r="L125" s="673">
        <v>0</v>
      </c>
      <c r="M125" s="673">
        <v>0</v>
      </c>
      <c r="N125" s="673">
        <v>0</v>
      </c>
      <c r="O125" s="673">
        <v>0</v>
      </c>
      <c r="P125" s="673">
        <v>0</v>
      </c>
      <c r="Q125" s="673">
        <v>0</v>
      </c>
      <c r="R125" s="673">
        <v>0</v>
      </c>
      <c r="S125" s="656">
        <f t="shared" si="11"/>
        <v>0</v>
      </c>
      <c r="T125" s="617">
        <f ca="1">U125-$AE$3</f>
        <v>-1524</v>
      </c>
      <c r="U125" s="611">
        <v>42858</v>
      </c>
      <c r="V125" s="345" t="s">
        <v>1877</v>
      </c>
      <c r="W125" s="612"/>
      <c r="X125" s="613"/>
      <c r="Y125" s="613"/>
      <c r="Z125" s="613"/>
      <c r="AA125" s="613"/>
      <c r="AB125" s="613"/>
      <c r="AC125" s="616"/>
      <c r="AD125" s="346">
        <v>42494</v>
      </c>
      <c r="AE125" s="618">
        <f t="shared" ca="1" si="10"/>
        <v>-303</v>
      </c>
      <c r="AF125" s="339" t="s">
        <v>1763</v>
      </c>
    </row>
    <row r="126" spans="1:32" s="541" customFormat="1" ht="38.25" customHeight="1" x14ac:dyDescent="0.2">
      <c r="A126" s="646" t="s">
        <v>1756</v>
      </c>
      <c r="B126" s="339"/>
      <c r="C126" s="339" t="s">
        <v>1757</v>
      </c>
      <c r="D126" s="340" t="s">
        <v>1906</v>
      </c>
      <c r="E126" s="340" t="s">
        <v>1798</v>
      </c>
      <c r="F126" s="365">
        <v>0</v>
      </c>
      <c r="G126" s="673">
        <v>0</v>
      </c>
      <c r="H126" s="673">
        <v>0</v>
      </c>
      <c r="I126" s="673">
        <v>0</v>
      </c>
      <c r="J126" s="673">
        <v>0</v>
      </c>
      <c r="K126" s="673">
        <v>0</v>
      </c>
      <c r="L126" s="673">
        <v>0</v>
      </c>
      <c r="M126" s="673">
        <v>0</v>
      </c>
      <c r="N126" s="673">
        <v>0</v>
      </c>
      <c r="O126" s="673">
        <v>0</v>
      </c>
      <c r="P126" s="673">
        <v>0</v>
      </c>
      <c r="Q126" s="673">
        <v>0</v>
      </c>
      <c r="R126" s="673">
        <v>0</v>
      </c>
      <c r="S126" s="656">
        <f t="shared" si="11"/>
        <v>0</v>
      </c>
      <c r="T126" s="617">
        <f ca="1">U126-$AE$3</f>
        <v>-1517</v>
      </c>
      <c r="U126" s="611">
        <v>42865</v>
      </c>
      <c r="V126" s="345" t="s">
        <v>1878</v>
      </c>
      <c r="W126" s="612"/>
      <c r="X126" s="613"/>
      <c r="Y126" s="613"/>
      <c r="Z126" s="613"/>
      <c r="AA126" s="613"/>
      <c r="AB126" s="613"/>
      <c r="AC126" s="616"/>
      <c r="AD126" s="346">
        <v>42501</v>
      </c>
      <c r="AE126" s="618">
        <f t="shared" ca="1" si="10"/>
        <v>-310</v>
      </c>
      <c r="AF126" s="339" t="s">
        <v>1763</v>
      </c>
    </row>
    <row r="127" spans="1:32" s="541" customFormat="1" ht="25.5" x14ac:dyDescent="0.2">
      <c r="A127" s="646" t="s">
        <v>1895</v>
      </c>
      <c r="B127" s="339" t="s">
        <v>1896</v>
      </c>
      <c r="C127" s="339"/>
      <c r="D127" s="340" t="s">
        <v>1897</v>
      </c>
      <c r="E127" s="340" t="s">
        <v>1912</v>
      </c>
      <c r="F127" s="365">
        <v>7990</v>
      </c>
      <c r="G127" s="673">
        <v>0</v>
      </c>
      <c r="H127" s="673">
        <v>0</v>
      </c>
      <c r="I127" s="673">
        <v>0</v>
      </c>
      <c r="J127" s="673">
        <v>0</v>
      </c>
      <c r="K127" s="673">
        <v>0</v>
      </c>
      <c r="L127" s="673">
        <v>7990</v>
      </c>
      <c r="M127" s="673">
        <v>0</v>
      </c>
      <c r="N127" s="673">
        <v>0</v>
      </c>
      <c r="O127" s="673">
        <v>0</v>
      </c>
      <c r="P127" s="673">
        <v>0</v>
      </c>
      <c r="Q127" s="673">
        <v>0</v>
      </c>
      <c r="R127" s="673">
        <v>0</v>
      </c>
      <c r="S127" s="656">
        <f t="shared" si="11"/>
        <v>7990</v>
      </c>
      <c r="T127" s="617">
        <f ca="1">U127-$AE$3</f>
        <v>-1468</v>
      </c>
      <c r="U127" s="611">
        <v>42914</v>
      </c>
      <c r="V127" s="345" t="s">
        <v>1898</v>
      </c>
      <c r="W127" s="612"/>
      <c r="X127" s="613"/>
      <c r="Y127" s="613"/>
      <c r="Z127" s="613"/>
      <c r="AA127" s="613"/>
      <c r="AB127" s="613"/>
      <c r="AC127" s="616"/>
      <c r="AD127" s="346">
        <v>42550</v>
      </c>
      <c r="AE127" s="618">
        <f t="shared" ca="1" si="10"/>
        <v>-359</v>
      </c>
      <c r="AF127" s="339"/>
    </row>
    <row r="128" spans="1:32" s="541" customFormat="1" ht="51" x14ac:dyDescent="0.2">
      <c r="A128" s="646" t="s">
        <v>1899</v>
      </c>
      <c r="B128" s="339" t="s">
        <v>1896</v>
      </c>
      <c r="C128" s="339"/>
      <c r="D128" s="340" t="s">
        <v>1900</v>
      </c>
      <c r="E128" s="340" t="s">
        <v>1901</v>
      </c>
      <c r="F128" s="365" t="s">
        <v>1902</v>
      </c>
      <c r="G128" s="673">
        <v>0</v>
      </c>
      <c r="H128" s="673">
        <v>0</v>
      </c>
      <c r="I128" s="673">
        <v>0</v>
      </c>
      <c r="J128" s="673">
        <v>0</v>
      </c>
      <c r="K128" s="673">
        <v>0</v>
      </c>
      <c r="L128" s="673">
        <v>0</v>
      </c>
      <c r="M128" s="673">
        <v>0</v>
      </c>
      <c r="N128" s="673">
        <v>0</v>
      </c>
      <c r="O128" s="673">
        <v>439.2</v>
      </c>
      <c r="P128" s="673">
        <v>394.8</v>
      </c>
      <c r="Q128" s="673">
        <v>316.8</v>
      </c>
      <c r="R128" s="673">
        <v>408</v>
      </c>
      <c r="S128" s="656">
        <f t="shared" si="11"/>
        <v>1558.8</v>
      </c>
      <c r="T128" s="617">
        <f t="shared" ca="1" si="9"/>
        <v>-1449</v>
      </c>
      <c r="U128" s="611">
        <v>42933</v>
      </c>
      <c r="V128" s="345" t="s">
        <v>1903</v>
      </c>
      <c r="W128" s="612"/>
      <c r="X128" s="613"/>
      <c r="Y128" s="613"/>
      <c r="Z128" s="613"/>
      <c r="AA128" s="613"/>
      <c r="AB128" s="613"/>
      <c r="AC128" s="616"/>
      <c r="AD128" s="346">
        <v>42569</v>
      </c>
      <c r="AE128" s="618">
        <f t="shared" ca="1" si="10"/>
        <v>-378</v>
      </c>
      <c r="AF128" s="339" t="s">
        <v>48</v>
      </c>
    </row>
    <row r="129" spans="1:32" s="541" customFormat="1" ht="76.5" x14ac:dyDescent="0.2">
      <c r="A129" s="646" t="s">
        <v>1904</v>
      </c>
      <c r="B129" s="339"/>
      <c r="C129" s="339" t="s">
        <v>1905</v>
      </c>
      <c r="D129" s="340" t="s">
        <v>1906</v>
      </c>
      <c r="E129" s="340" t="s">
        <v>1984</v>
      </c>
      <c r="F129" s="365" t="s">
        <v>1907</v>
      </c>
      <c r="G129" s="673">
        <v>0</v>
      </c>
      <c r="H129" s="673">
        <v>0</v>
      </c>
      <c r="I129" s="673">
        <v>0</v>
      </c>
      <c r="J129" s="673">
        <v>0</v>
      </c>
      <c r="K129" s="673">
        <v>0</v>
      </c>
      <c r="L129" s="673">
        <v>0</v>
      </c>
      <c r="M129" s="673">
        <v>0</v>
      </c>
      <c r="N129" s="673">
        <v>0</v>
      </c>
      <c r="O129" s="673">
        <v>0</v>
      </c>
      <c r="P129" s="673">
        <v>0</v>
      </c>
      <c r="Q129" s="673">
        <v>0</v>
      </c>
      <c r="R129" s="673">
        <v>15828.47</v>
      </c>
      <c r="S129" s="656">
        <f t="shared" si="11"/>
        <v>15828.47</v>
      </c>
      <c r="T129" s="617">
        <f t="shared" ca="1" si="9"/>
        <v>-1438</v>
      </c>
      <c r="U129" s="611">
        <v>42944</v>
      </c>
      <c r="V129" s="345" t="s">
        <v>1908</v>
      </c>
      <c r="W129" s="612"/>
      <c r="X129" s="613"/>
      <c r="Y129" s="613"/>
      <c r="Z129" s="613"/>
      <c r="AA129" s="613"/>
      <c r="AB129" s="613"/>
      <c r="AC129" s="616"/>
      <c r="AD129" s="346">
        <v>42580</v>
      </c>
      <c r="AE129" s="618">
        <f t="shared" ca="1" si="10"/>
        <v>-389</v>
      </c>
      <c r="AF129" s="339"/>
    </row>
    <row r="130" spans="1:32" s="541" customFormat="1" ht="38.25" customHeight="1" x14ac:dyDescent="0.2">
      <c r="A130" s="646" t="s">
        <v>1756</v>
      </c>
      <c r="B130" s="339"/>
      <c r="C130" s="339" t="s">
        <v>1757</v>
      </c>
      <c r="D130" s="340" t="s">
        <v>1913</v>
      </c>
      <c r="E130" s="340" t="s">
        <v>1798</v>
      </c>
      <c r="F130" s="365">
        <v>0</v>
      </c>
      <c r="G130" s="673">
        <v>0</v>
      </c>
      <c r="H130" s="673">
        <v>0</v>
      </c>
      <c r="I130" s="673">
        <v>0</v>
      </c>
      <c r="J130" s="673">
        <v>0</v>
      </c>
      <c r="K130" s="673">
        <v>0</v>
      </c>
      <c r="L130" s="673">
        <v>0</v>
      </c>
      <c r="M130" s="673">
        <v>0</v>
      </c>
      <c r="N130" s="673">
        <v>0</v>
      </c>
      <c r="O130" s="673">
        <v>0</v>
      </c>
      <c r="P130" s="673">
        <v>0</v>
      </c>
      <c r="Q130" s="673">
        <v>0</v>
      </c>
      <c r="R130" s="673">
        <v>0</v>
      </c>
      <c r="S130" s="656">
        <f t="shared" si="11"/>
        <v>0</v>
      </c>
      <c r="T130" s="617">
        <f t="shared" ca="1" si="9"/>
        <v>-1413</v>
      </c>
      <c r="U130" s="611">
        <v>42969</v>
      </c>
      <c r="V130" s="345" t="s">
        <v>1914</v>
      </c>
      <c r="W130" s="612"/>
      <c r="X130" s="613"/>
      <c r="Y130" s="613"/>
      <c r="Z130" s="613"/>
      <c r="AA130" s="613"/>
      <c r="AB130" s="613"/>
      <c r="AC130" s="616"/>
      <c r="AD130" s="346">
        <v>42605</v>
      </c>
      <c r="AE130" s="618">
        <f t="shared" ca="1" si="10"/>
        <v>-414</v>
      </c>
      <c r="AF130" s="339" t="s">
        <v>1763</v>
      </c>
    </row>
    <row r="131" spans="1:32" s="541" customFormat="1" ht="38.25" x14ac:dyDescent="0.2">
      <c r="A131" s="646" t="s">
        <v>1916</v>
      </c>
      <c r="B131" s="339"/>
      <c r="C131" s="339" t="s">
        <v>1917</v>
      </c>
      <c r="D131" s="340" t="s">
        <v>1918</v>
      </c>
      <c r="E131" s="340" t="s">
        <v>1919</v>
      </c>
      <c r="F131" s="365">
        <v>0</v>
      </c>
      <c r="G131" s="673">
        <v>0</v>
      </c>
      <c r="H131" s="673">
        <v>0</v>
      </c>
      <c r="I131" s="673">
        <v>0</v>
      </c>
      <c r="J131" s="673">
        <v>0</v>
      </c>
      <c r="K131" s="673">
        <v>0</v>
      </c>
      <c r="L131" s="673">
        <v>0</v>
      </c>
      <c r="M131" s="673">
        <v>0</v>
      </c>
      <c r="N131" s="673">
        <v>0</v>
      </c>
      <c r="O131" s="673">
        <v>0</v>
      </c>
      <c r="P131" s="673">
        <v>0</v>
      </c>
      <c r="Q131" s="673">
        <v>0</v>
      </c>
      <c r="R131" s="673">
        <v>0</v>
      </c>
      <c r="S131" s="656">
        <f t="shared" si="11"/>
        <v>0</v>
      </c>
      <c r="T131" s="617">
        <f t="shared" ca="1" si="9"/>
        <v>-1413</v>
      </c>
      <c r="U131" s="611">
        <v>42969</v>
      </c>
      <c r="V131" s="345" t="s">
        <v>1914</v>
      </c>
      <c r="W131" s="612"/>
      <c r="X131" s="613"/>
      <c r="Y131" s="613"/>
      <c r="Z131" s="613"/>
      <c r="AA131" s="613"/>
      <c r="AB131" s="613"/>
      <c r="AC131" s="616"/>
      <c r="AD131" s="346">
        <v>42605</v>
      </c>
      <c r="AE131" s="618">
        <f t="shared" ca="1" si="10"/>
        <v>-414</v>
      </c>
      <c r="AF131" s="339"/>
    </row>
    <row r="132" spans="1:32" s="541" customFormat="1" ht="38.25" customHeight="1" x14ac:dyDescent="0.2">
      <c r="A132" s="646" t="s">
        <v>1916</v>
      </c>
      <c r="B132" s="339"/>
      <c r="C132" s="339" t="s">
        <v>1917</v>
      </c>
      <c r="D132" s="340" t="s">
        <v>1920</v>
      </c>
      <c r="E132" s="340" t="s">
        <v>1919</v>
      </c>
      <c r="F132" s="365">
        <v>0</v>
      </c>
      <c r="G132" s="673">
        <v>0</v>
      </c>
      <c r="H132" s="673">
        <v>0</v>
      </c>
      <c r="I132" s="673">
        <v>0</v>
      </c>
      <c r="J132" s="673">
        <v>0</v>
      </c>
      <c r="K132" s="673">
        <v>0</v>
      </c>
      <c r="L132" s="673">
        <v>0</v>
      </c>
      <c r="M132" s="673">
        <v>0</v>
      </c>
      <c r="N132" s="673">
        <v>0</v>
      </c>
      <c r="O132" s="673">
        <v>0</v>
      </c>
      <c r="P132" s="673">
        <v>0</v>
      </c>
      <c r="Q132" s="673">
        <v>0</v>
      </c>
      <c r="R132" s="673">
        <v>0</v>
      </c>
      <c r="S132" s="656">
        <f t="shared" si="11"/>
        <v>0</v>
      </c>
      <c r="T132" s="617">
        <f t="shared" ca="1" si="9"/>
        <v>-1413</v>
      </c>
      <c r="U132" s="611">
        <v>42969</v>
      </c>
      <c r="V132" s="345" t="s">
        <v>1914</v>
      </c>
      <c r="W132" s="612"/>
      <c r="X132" s="613"/>
      <c r="Y132" s="613"/>
      <c r="Z132" s="613"/>
      <c r="AA132" s="613"/>
      <c r="AB132" s="613"/>
      <c r="AC132" s="616"/>
      <c r="AD132" s="346">
        <v>42605</v>
      </c>
      <c r="AE132" s="618">
        <f t="shared" ca="1" si="10"/>
        <v>-414</v>
      </c>
      <c r="AF132" s="339"/>
    </row>
    <row r="133" spans="1:32" s="541" customFormat="1" ht="38.25" customHeight="1" x14ac:dyDescent="0.2">
      <c r="A133" s="646" t="s">
        <v>1916</v>
      </c>
      <c r="B133" s="339"/>
      <c r="C133" s="339" t="s">
        <v>1917</v>
      </c>
      <c r="D133" s="340" t="s">
        <v>1921</v>
      </c>
      <c r="E133" s="340" t="s">
        <v>1919</v>
      </c>
      <c r="F133" s="365">
        <v>0</v>
      </c>
      <c r="G133" s="673">
        <v>0</v>
      </c>
      <c r="H133" s="673">
        <v>0</v>
      </c>
      <c r="I133" s="673">
        <v>0</v>
      </c>
      <c r="J133" s="673">
        <v>0</v>
      </c>
      <c r="K133" s="673">
        <v>0</v>
      </c>
      <c r="L133" s="673">
        <v>0</v>
      </c>
      <c r="M133" s="673">
        <v>0</v>
      </c>
      <c r="N133" s="673">
        <v>0</v>
      </c>
      <c r="O133" s="673">
        <v>0</v>
      </c>
      <c r="P133" s="673">
        <v>0</v>
      </c>
      <c r="Q133" s="673">
        <v>0</v>
      </c>
      <c r="R133" s="673">
        <v>0</v>
      </c>
      <c r="S133" s="656">
        <f t="shared" si="11"/>
        <v>0</v>
      </c>
      <c r="T133" s="617">
        <f ca="1">U133-$AE$3</f>
        <v>-1413</v>
      </c>
      <c r="U133" s="611">
        <v>42969</v>
      </c>
      <c r="V133" s="345" t="s">
        <v>1914</v>
      </c>
      <c r="W133" s="612"/>
      <c r="X133" s="613"/>
      <c r="Y133" s="613"/>
      <c r="Z133" s="613"/>
      <c r="AA133" s="613"/>
      <c r="AB133" s="613"/>
      <c r="AC133" s="616"/>
      <c r="AD133" s="346">
        <v>42605</v>
      </c>
      <c r="AE133" s="618">
        <f t="shared" ca="1" si="10"/>
        <v>-414</v>
      </c>
      <c r="AF133" s="339"/>
    </row>
    <row r="134" spans="1:32" s="541" customFormat="1" ht="38.25" customHeight="1" x14ac:dyDescent="0.2">
      <c r="A134" s="646" t="s">
        <v>1916</v>
      </c>
      <c r="B134" s="339"/>
      <c r="C134" s="339" t="s">
        <v>1917</v>
      </c>
      <c r="D134" s="340" t="s">
        <v>1922</v>
      </c>
      <c r="E134" s="340" t="s">
        <v>1919</v>
      </c>
      <c r="F134" s="365">
        <v>0</v>
      </c>
      <c r="G134" s="673">
        <v>0</v>
      </c>
      <c r="H134" s="673">
        <v>0</v>
      </c>
      <c r="I134" s="673">
        <v>0</v>
      </c>
      <c r="J134" s="673">
        <v>0</v>
      </c>
      <c r="K134" s="673">
        <v>0</v>
      </c>
      <c r="L134" s="673">
        <v>0</v>
      </c>
      <c r="M134" s="673">
        <v>0</v>
      </c>
      <c r="N134" s="673">
        <v>0</v>
      </c>
      <c r="O134" s="673">
        <v>0</v>
      </c>
      <c r="P134" s="673">
        <v>0</v>
      </c>
      <c r="Q134" s="673">
        <v>0</v>
      </c>
      <c r="R134" s="673">
        <v>0</v>
      </c>
      <c r="S134" s="656">
        <f t="shared" si="11"/>
        <v>0</v>
      </c>
      <c r="T134" s="617">
        <f t="shared" ref="T134:T143" ca="1" si="12">U134-$AE$3</f>
        <v>-1413</v>
      </c>
      <c r="U134" s="611">
        <v>42969</v>
      </c>
      <c r="V134" s="345" t="s">
        <v>1914</v>
      </c>
      <c r="W134" s="612"/>
      <c r="X134" s="613"/>
      <c r="Y134" s="613"/>
      <c r="Z134" s="613"/>
      <c r="AA134" s="613"/>
      <c r="AB134" s="613"/>
      <c r="AC134" s="616"/>
      <c r="AD134" s="346">
        <v>42605</v>
      </c>
      <c r="AE134" s="618">
        <f t="shared" ca="1" si="10"/>
        <v>-414</v>
      </c>
      <c r="AF134" s="339"/>
    </row>
    <row r="135" spans="1:32" s="541" customFormat="1" ht="38.25" x14ac:dyDescent="0.2">
      <c r="A135" s="646" t="s">
        <v>1916</v>
      </c>
      <c r="B135" s="339"/>
      <c r="C135" s="339" t="s">
        <v>1917</v>
      </c>
      <c r="D135" s="340" t="s">
        <v>1923</v>
      </c>
      <c r="E135" s="340" t="s">
        <v>1919</v>
      </c>
      <c r="F135" s="365">
        <v>0</v>
      </c>
      <c r="G135" s="673">
        <v>0</v>
      </c>
      <c r="H135" s="673">
        <v>0</v>
      </c>
      <c r="I135" s="673">
        <v>0</v>
      </c>
      <c r="J135" s="673">
        <v>0</v>
      </c>
      <c r="K135" s="673">
        <v>0</v>
      </c>
      <c r="L135" s="673">
        <v>0</v>
      </c>
      <c r="M135" s="673">
        <v>0</v>
      </c>
      <c r="N135" s="673">
        <v>0</v>
      </c>
      <c r="O135" s="673">
        <v>0</v>
      </c>
      <c r="P135" s="673">
        <v>0</v>
      </c>
      <c r="Q135" s="673">
        <v>574.36</v>
      </c>
      <c r="R135" s="673">
        <v>0</v>
      </c>
      <c r="S135" s="656">
        <f t="shared" si="11"/>
        <v>574.36</v>
      </c>
      <c r="T135" s="617">
        <f t="shared" ca="1" si="12"/>
        <v>-1413</v>
      </c>
      <c r="U135" s="611">
        <v>42969</v>
      </c>
      <c r="V135" s="345" t="s">
        <v>1914</v>
      </c>
      <c r="W135" s="612"/>
      <c r="X135" s="613"/>
      <c r="Y135" s="613"/>
      <c r="Z135" s="613"/>
      <c r="AA135" s="613"/>
      <c r="AB135" s="613"/>
      <c r="AC135" s="616"/>
      <c r="AD135" s="346">
        <v>42605</v>
      </c>
      <c r="AE135" s="618">
        <f t="shared" ca="1" si="10"/>
        <v>-414</v>
      </c>
      <c r="AF135" s="339"/>
    </row>
    <row r="136" spans="1:32" s="541" customFormat="1" ht="38.25" x14ac:dyDescent="0.2">
      <c r="A136" s="646" t="s">
        <v>1916</v>
      </c>
      <c r="B136" s="339"/>
      <c r="C136" s="339" t="s">
        <v>1917</v>
      </c>
      <c r="D136" s="340" t="s">
        <v>1924</v>
      </c>
      <c r="E136" s="340" t="s">
        <v>1919</v>
      </c>
      <c r="F136" s="365">
        <v>0</v>
      </c>
      <c r="G136" s="673">
        <v>0</v>
      </c>
      <c r="H136" s="673">
        <v>0</v>
      </c>
      <c r="I136" s="673">
        <v>0</v>
      </c>
      <c r="J136" s="673">
        <v>0</v>
      </c>
      <c r="K136" s="673">
        <v>0</v>
      </c>
      <c r="L136" s="673">
        <v>0</v>
      </c>
      <c r="M136" s="673">
        <v>0</v>
      </c>
      <c r="N136" s="673">
        <v>0</v>
      </c>
      <c r="O136" s="673">
        <v>0</v>
      </c>
      <c r="P136" s="673">
        <v>0</v>
      </c>
      <c r="Q136" s="673">
        <v>1500</v>
      </c>
      <c r="R136" s="673">
        <v>0</v>
      </c>
      <c r="S136" s="656">
        <f t="shared" si="11"/>
        <v>1500</v>
      </c>
      <c r="T136" s="617">
        <f t="shared" ca="1" si="12"/>
        <v>-1413</v>
      </c>
      <c r="U136" s="611">
        <v>42969</v>
      </c>
      <c r="V136" s="345" t="s">
        <v>1914</v>
      </c>
      <c r="W136" s="612"/>
      <c r="X136" s="613"/>
      <c r="Y136" s="613"/>
      <c r="Z136" s="613"/>
      <c r="AA136" s="613"/>
      <c r="AB136" s="613"/>
      <c r="AC136" s="616"/>
      <c r="AD136" s="346">
        <v>42605</v>
      </c>
      <c r="AE136" s="618">
        <f t="shared" ca="1" si="10"/>
        <v>-414</v>
      </c>
      <c r="AF136" s="339"/>
    </row>
    <row r="137" spans="1:32" s="541" customFormat="1" ht="38.25" x14ac:dyDescent="0.2">
      <c r="A137" s="646" t="s">
        <v>1916</v>
      </c>
      <c r="B137" s="339"/>
      <c r="C137" s="339" t="s">
        <v>1917</v>
      </c>
      <c r="D137" s="340" t="s">
        <v>1925</v>
      </c>
      <c r="E137" s="340" t="s">
        <v>1919</v>
      </c>
      <c r="F137" s="365">
        <v>0</v>
      </c>
      <c r="G137" s="673">
        <v>0</v>
      </c>
      <c r="H137" s="673">
        <v>0</v>
      </c>
      <c r="I137" s="673">
        <v>0</v>
      </c>
      <c r="J137" s="673">
        <v>0</v>
      </c>
      <c r="K137" s="673">
        <v>0</v>
      </c>
      <c r="L137" s="673">
        <v>0</v>
      </c>
      <c r="M137" s="673">
        <v>0</v>
      </c>
      <c r="N137" s="673">
        <v>0</v>
      </c>
      <c r="O137" s="673">
        <v>0</v>
      </c>
      <c r="P137" s="673">
        <v>0</v>
      </c>
      <c r="Q137" s="673">
        <v>1500</v>
      </c>
      <c r="R137" s="673">
        <v>0</v>
      </c>
      <c r="S137" s="656">
        <f t="shared" si="11"/>
        <v>1500</v>
      </c>
      <c r="T137" s="617">
        <f t="shared" ca="1" si="12"/>
        <v>-1413</v>
      </c>
      <c r="U137" s="611">
        <v>42969</v>
      </c>
      <c r="V137" s="345" t="s">
        <v>1914</v>
      </c>
      <c r="W137" s="612"/>
      <c r="X137" s="613"/>
      <c r="Y137" s="613"/>
      <c r="Z137" s="613"/>
      <c r="AA137" s="613"/>
      <c r="AB137" s="613"/>
      <c r="AC137" s="616"/>
      <c r="AD137" s="346">
        <v>42605</v>
      </c>
      <c r="AE137" s="618">
        <f t="shared" ca="1" si="10"/>
        <v>-414</v>
      </c>
      <c r="AF137" s="339"/>
    </row>
    <row r="138" spans="1:32" s="541" customFormat="1" ht="38.25" customHeight="1" x14ac:dyDescent="0.2">
      <c r="A138" s="646" t="s">
        <v>1916</v>
      </c>
      <c r="B138" s="339"/>
      <c r="C138" s="339" t="s">
        <v>1917</v>
      </c>
      <c r="D138" s="340" t="s">
        <v>1926</v>
      </c>
      <c r="E138" s="340" t="s">
        <v>1919</v>
      </c>
      <c r="F138" s="365">
        <v>0</v>
      </c>
      <c r="G138" s="673">
        <v>0</v>
      </c>
      <c r="H138" s="673">
        <v>0</v>
      </c>
      <c r="I138" s="673">
        <v>0</v>
      </c>
      <c r="J138" s="673">
        <v>0</v>
      </c>
      <c r="K138" s="673">
        <v>0</v>
      </c>
      <c r="L138" s="673">
        <v>0</v>
      </c>
      <c r="M138" s="673">
        <v>0</v>
      </c>
      <c r="N138" s="673">
        <v>0</v>
      </c>
      <c r="O138" s="673">
        <v>0</v>
      </c>
      <c r="P138" s="673">
        <v>0</v>
      </c>
      <c r="Q138" s="673">
        <v>0</v>
      </c>
      <c r="R138" s="673">
        <v>0</v>
      </c>
      <c r="S138" s="656">
        <f t="shared" si="11"/>
        <v>0</v>
      </c>
      <c r="T138" s="617">
        <f t="shared" ca="1" si="12"/>
        <v>-1413</v>
      </c>
      <c r="U138" s="611">
        <v>42969</v>
      </c>
      <c r="V138" s="345" t="s">
        <v>1914</v>
      </c>
      <c r="W138" s="612"/>
      <c r="X138" s="613"/>
      <c r="Y138" s="613"/>
      <c r="Z138" s="613"/>
      <c r="AA138" s="613"/>
      <c r="AB138" s="613"/>
      <c r="AC138" s="616"/>
      <c r="AD138" s="346">
        <v>42605</v>
      </c>
      <c r="AE138" s="618">
        <f t="shared" ca="1" si="10"/>
        <v>-414</v>
      </c>
      <c r="AF138" s="339"/>
    </row>
    <row r="139" spans="1:32" s="541" customFormat="1" ht="38.25" customHeight="1" x14ac:dyDescent="0.2">
      <c r="A139" s="646" t="s">
        <v>1916</v>
      </c>
      <c r="B139" s="339"/>
      <c r="C139" s="339" t="s">
        <v>1917</v>
      </c>
      <c r="D139" s="340" t="s">
        <v>1927</v>
      </c>
      <c r="E139" s="340" t="s">
        <v>1919</v>
      </c>
      <c r="F139" s="365">
        <v>0</v>
      </c>
      <c r="G139" s="673">
        <v>0</v>
      </c>
      <c r="H139" s="673">
        <v>0</v>
      </c>
      <c r="I139" s="673">
        <v>0</v>
      </c>
      <c r="J139" s="673">
        <v>0</v>
      </c>
      <c r="K139" s="673">
        <v>0</v>
      </c>
      <c r="L139" s="673">
        <v>0</v>
      </c>
      <c r="M139" s="673">
        <v>0</v>
      </c>
      <c r="N139" s="673">
        <v>0</v>
      </c>
      <c r="O139" s="673">
        <v>0</v>
      </c>
      <c r="P139" s="673">
        <v>0</v>
      </c>
      <c r="Q139" s="673">
        <v>0</v>
      </c>
      <c r="R139" s="673">
        <v>0</v>
      </c>
      <c r="S139" s="656">
        <f t="shared" si="11"/>
        <v>0</v>
      </c>
      <c r="T139" s="617">
        <f t="shared" ca="1" si="12"/>
        <v>-1413</v>
      </c>
      <c r="U139" s="611">
        <v>42969</v>
      </c>
      <c r="V139" s="345" t="s">
        <v>1914</v>
      </c>
      <c r="W139" s="612"/>
      <c r="X139" s="613"/>
      <c r="Y139" s="613"/>
      <c r="Z139" s="613"/>
      <c r="AA139" s="613"/>
      <c r="AB139" s="613"/>
      <c r="AC139" s="616"/>
      <c r="AD139" s="346">
        <v>42605</v>
      </c>
      <c r="AE139" s="618">
        <f t="shared" ref="AE139:AE162" ca="1" si="13">TODAY()-DATE(YEAR(AD139)+6,MONTH(AD139),DAY(AD139))</f>
        <v>-414</v>
      </c>
      <c r="AF139" s="339"/>
    </row>
    <row r="140" spans="1:32" s="541" customFormat="1" ht="38.25" customHeight="1" x14ac:dyDescent="0.2">
      <c r="A140" s="646" t="s">
        <v>1916</v>
      </c>
      <c r="B140" s="339"/>
      <c r="C140" s="339" t="s">
        <v>1917</v>
      </c>
      <c r="D140" s="340" t="s">
        <v>1928</v>
      </c>
      <c r="E140" s="340" t="s">
        <v>1919</v>
      </c>
      <c r="F140" s="365">
        <v>0</v>
      </c>
      <c r="G140" s="673">
        <v>0</v>
      </c>
      <c r="H140" s="673">
        <v>0</v>
      </c>
      <c r="I140" s="673">
        <v>0</v>
      </c>
      <c r="J140" s="673">
        <v>0</v>
      </c>
      <c r="K140" s="673">
        <v>0</v>
      </c>
      <c r="L140" s="673">
        <v>0</v>
      </c>
      <c r="M140" s="673">
        <v>0</v>
      </c>
      <c r="N140" s="673">
        <v>0</v>
      </c>
      <c r="O140" s="673">
        <v>0</v>
      </c>
      <c r="P140" s="673">
        <v>0</v>
      </c>
      <c r="Q140" s="673">
        <v>0</v>
      </c>
      <c r="R140" s="673">
        <v>0</v>
      </c>
      <c r="S140" s="656">
        <f t="shared" si="11"/>
        <v>0</v>
      </c>
      <c r="T140" s="617">
        <f t="shared" ca="1" si="12"/>
        <v>-1413</v>
      </c>
      <c r="U140" s="611">
        <v>42969</v>
      </c>
      <c r="V140" s="345" t="s">
        <v>1914</v>
      </c>
      <c r="W140" s="612"/>
      <c r="X140" s="613"/>
      <c r="Y140" s="613"/>
      <c r="Z140" s="613"/>
      <c r="AA140" s="613"/>
      <c r="AB140" s="613"/>
      <c r="AC140" s="616"/>
      <c r="AD140" s="346">
        <v>42605</v>
      </c>
      <c r="AE140" s="618">
        <f t="shared" ca="1" si="13"/>
        <v>-414</v>
      </c>
      <c r="AF140" s="339"/>
    </row>
    <row r="141" spans="1:32" s="541" customFormat="1" ht="38.25" customHeight="1" x14ac:dyDescent="0.2">
      <c r="A141" s="646" t="s">
        <v>1916</v>
      </c>
      <c r="B141" s="339"/>
      <c r="C141" s="339" t="s">
        <v>1917</v>
      </c>
      <c r="D141" s="340" t="s">
        <v>1929</v>
      </c>
      <c r="E141" s="340" t="s">
        <v>1919</v>
      </c>
      <c r="F141" s="365">
        <v>0</v>
      </c>
      <c r="G141" s="673">
        <v>0</v>
      </c>
      <c r="H141" s="673">
        <v>0</v>
      </c>
      <c r="I141" s="673">
        <v>0</v>
      </c>
      <c r="J141" s="673">
        <v>0</v>
      </c>
      <c r="K141" s="673">
        <v>0</v>
      </c>
      <c r="L141" s="673">
        <v>0</v>
      </c>
      <c r="M141" s="673">
        <v>0</v>
      </c>
      <c r="N141" s="673">
        <v>0</v>
      </c>
      <c r="O141" s="673">
        <v>0</v>
      </c>
      <c r="P141" s="673">
        <v>0</v>
      </c>
      <c r="Q141" s="673">
        <v>0</v>
      </c>
      <c r="R141" s="673">
        <v>0</v>
      </c>
      <c r="S141" s="656">
        <f t="shared" si="11"/>
        <v>0</v>
      </c>
      <c r="T141" s="617">
        <f t="shared" ca="1" si="12"/>
        <v>-1413</v>
      </c>
      <c r="U141" s="611">
        <v>42969</v>
      </c>
      <c r="V141" s="345" t="s">
        <v>1914</v>
      </c>
      <c r="W141" s="612"/>
      <c r="X141" s="613"/>
      <c r="Y141" s="613"/>
      <c r="Z141" s="613"/>
      <c r="AA141" s="613"/>
      <c r="AB141" s="613"/>
      <c r="AC141" s="616"/>
      <c r="AD141" s="346">
        <v>42605</v>
      </c>
      <c r="AE141" s="618">
        <f t="shared" ca="1" si="13"/>
        <v>-414</v>
      </c>
      <c r="AF141" s="339"/>
    </row>
    <row r="142" spans="1:32" s="541" customFormat="1" ht="38.25" customHeight="1" x14ac:dyDescent="0.2">
      <c r="A142" s="646" t="s">
        <v>1916</v>
      </c>
      <c r="B142" s="339"/>
      <c r="C142" s="339" t="s">
        <v>1917</v>
      </c>
      <c r="D142" s="340" t="s">
        <v>1930</v>
      </c>
      <c r="E142" s="340" t="s">
        <v>1919</v>
      </c>
      <c r="F142" s="365">
        <v>0</v>
      </c>
      <c r="G142" s="673">
        <v>0</v>
      </c>
      <c r="H142" s="673">
        <v>0</v>
      </c>
      <c r="I142" s="673">
        <v>0</v>
      </c>
      <c r="J142" s="673">
        <v>0</v>
      </c>
      <c r="K142" s="673">
        <v>0</v>
      </c>
      <c r="L142" s="673">
        <v>0</v>
      </c>
      <c r="M142" s="673">
        <v>0</v>
      </c>
      <c r="N142" s="673">
        <v>0</v>
      </c>
      <c r="O142" s="673">
        <v>0</v>
      </c>
      <c r="P142" s="673">
        <v>0</v>
      </c>
      <c r="Q142" s="673">
        <v>0</v>
      </c>
      <c r="R142" s="673">
        <v>0</v>
      </c>
      <c r="S142" s="656">
        <f t="shared" si="11"/>
        <v>0</v>
      </c>
      <c r="T142" s="617">
        <f t="shared" ca="1" si="12"/>
        <v>-1413</v>
      </c>
      <c r="U142" s="611">
        <v>42969</v>
      </c>
      <c r="V142" s="345" t="s">
        <v>1914</v>
      </c>
      <c r="W142" s="612"/>
      <c r="X142" s="613"/>
      <c r="Y142" s="613"/>
      <c r="Z142" s="613"/>
      <c r="AA142" s="613"/>
      <c r="AB142" s="613"/>
      <c r="AC142" s="616"/>
      <c r="AD142" s="346">
        <v>42605</v>
      </c>
      <c r="AE142" s="618">
        <f t="shared" ca="1" si="13"/>
        <v>-414</v>
      </c>
      <c r="AF142" s="339"/>
    </row>
    <row r="143" spans="1:32" s="541" customFormat="1" ht="38.25" customHeight="1" x14ac:dyDescent="0.2">
      <c r="A143" s="646" t="s">
        <v>1916</v>
      </c>
      <c r="B143" s="339"/>
      <c r="C143" s="339" t="s">
        <v>1917</v>
      </c>
      <c r="D143" s="340" t="s">
        <v>1931</v>
      </c>
      <c r="E143" s="340" t="s">
        <v>1919</v>
      </c>
      <c r="F143" s="365">
        <v>0</v>
      </c>
      <c r="G143" s="673">
        <v>0</v>
      </c>
      <c r="H143" s="673">
        <v>0</v>
      </c>
      <c r="I143" s="673">
        <v>0</v>
      </c>
      <c r="J143" s="673">
        <v>0</v>
      </c>
      <c r="K143" s="673">
        <v>0</v>
      </c>
      <c r="L143" s="673">
        <v>0</v>
      </c>
      <c r="M143" s="673">
        <v>0</v>
      </c>
      <c r="N143" s="673">
        <v>0</v>
      </c>
      <c r="O143" s="673">
        <v>0</v>
      </c>
      <c r="P143" s="673">
        <v>0</v>
      </c>
      <c r="Q143" s="673">
        <v>1800</v>
      </c>
      <c r="R143" s="673">
        <v>0</v>
      </c>
      <c r="S143" s="656">
        <f t="shared" si="11"/>
        <v>1800</v>
      </c>
      <c r="T143" s="617">
        <f t="shared" ca="1" si="12"/>
        <v>-1413</v>
      </c>
      <c r="U143" s="611">
        <v>42969</v>
      </c>
      <c r="V143" s="345" t="s">
        <v>1914</v>
      </c>
      <c r="W143" s="612"/>
      <c r="X143" s="613"/>
      <c r="Y143" s="613"/>
      <c r="Z143" s="613"/>
      <c r="AA143" s="613"/>
      <c r="AB143" s="613"/>
      <c r="AC143" s="616"/>
      <c r="AD143" s="346">
        <v>42605</v>
      </c>
      <c r="AE143" s="618">
        <f t="shared" ca="1" si="13"/>
        <v>-414</v>
      </c>
      <c r="AF143" s="339"/>
    </row>
    <row r="144" spans="1:32" s="541" customFormat="1" ht="25.5" customHeight="1" x14ac:dyDescent="0.2">
      <c r="A144" s="646" t="s">
        <v>1756</v>
      </c>
      <c r="B144" s="339"/>
      <c r="C144" s="339" t="s">
        <v>1932</v>
      </c>
      <c r="D144" s="340" t="s">
        <v>1933</v>
      </c>
      <c r="E144" s="340" t="s">
        <v>1798</v>
      </c>
      <c r="F144" s="365">
        <v>0</v>
      </c>
      <c r="G144" s="673">
        <v>0</v>
      </c>
      <c r="H144" s="673">
        <v>0</v>
      </c>
      <c r="I144" s="673">
        <v>0</v>
      </c>
      <c r="J144" s="673">
        <v>0</v>
      </c>
      <c r="K144" s="673">
        <v>0</v>
      </c>
      <c r="L144" s="673">
        <v>0</v>
      </c>
      <c r="M144" s="673">
        <v>0</v>
      </c>
      <c r="N144" s="673">
        <v>0</v>
      </c>
      <c r="O144" s="673">
        <v>0</v>
      </c>
      <c r="P144" s="673">
        <v>0</v>
      </c>
      <c r="Q144" s="673">
        <v>0</v>
      </c>
      <c r="R144" s="673">
        <v>0</v>
      </c>
      <c r="S144" s="656">
        <f t="shared" ref="S144:S160" si="14">SUM(G144:R144)</f>
        <v>0</v>
      </c>
      <c r="T144" s="617">
        <f t="shared" ref="T144:T162" ca="1" si="15">U144-$AE$3</f>
        <v>-1413</v>
      </c>
      <c r="U144" s="611">
        <v>42969</v>
      </c>
      <c r="V144" s="345" t="s">
        <v>1914</v>
      </c>
      <c r="W144" s="612"/>
      <c r="X144" s="613"/>
      <c r="Y144" s="613"/>
      <c r="Z144" s="613"/>
      <c r="AA144" s="613"/>
      <c r="AB144" s="613"/>
      <c r="AC144" s="616"/>
      <c r="AD144" s="346">
        <v>42605</v>
      </c>
      <c r="AE144" s="618">
        <f t="shared" ca="1" si="13"/>
        <v>-414</v>
      </c>
      <c r="AF144" s="339" t="s">
        <v>1763</v>
      </c>
    </row>
    <row r="145" spans="1:32" s="541" customFormat="1" ht="38.25" customHeight="1" x14ac:dyDescent="0.2">
      <c r="A145" s="646" t="s">
        <v>1935</v>
      </c>
      <c r="B145" s="339"/>
      <c r="C145" s="339" t="s">
        <v>1936</v>
      </c>
      <c r="D145" s="340" t="s">
        <v>1937</v>
      </c>
      <c r="E145" s="340" t="s">
        <v>1938</v>
      </c>
      <c r="F145" s="365">
        <v>0</v>
      </c>
      <c r="G145" s="673">
        <v>0</v>
      </c>
      <c r="H145" s="673">
        <v>0</v>
      </c>
      <c r="I145" s="673">
        <v>0</v>
      </c>
      <c r="J145" s="673">
        <v>0</v>
      </c>
      <c r="K145" s="673">
        <v>0</v>
      </c>
      <c r="L145" s="673">
        <v>0</v>
      </c>
      <c r="M145" s="673">
        <v>0</v>
      </c>
      <c r="N145" s="673">
        <v>0</v>
      </c>
      <c r="O145" s="673">
        <v>0</v>
      </c>
      <c r="P145" s="673">
        <v>0</v>
      </c>
      <c r="Q145" s="673">
        <v>0</v>
      </c>
      <c r="R145" s="673">
        <v>0</v>
      </c>
      <c r="S145" s="656">
        <f t="shared" si="14"/>
        <v>0</v>
      </c>
      <c r="T145" s="617">
        <f t="shared" ca="1" si="15"/>
        <v>-1059</v>
      </c>
      <c r="U145" s="611">
        <v>43323</v>
      </c>
      <c r="V145" s="345" t="s">
        <v>1939</v>
      </c>
      <c r="W145" s="612"/>
      <c r="X145" s="613"/>
      <c r="Y145" s="613"/>
      <c r="Z145" s="613"/>
      <c r="AA145" s="613"/>
      <c r="AB145" s="613"/>
      <c r="AC145" s="616"/>
      <c r="AD145" s="346">
        <v>41498</v>
      </c>
      <c r="AE145" s="618">
        <f t="shared" ca="1" si="13"/>
        <v>693</v>
      </c>
      <c r="AF145" s="339" t="s">
        <v>1940</v>
      </c>
    </row>
    <row r="146" spans="1:32" s="541" customFormat="1" ht="38.25" x14ac:dyDescent="0.2">
      <c r="A146" s="646" t="s">
        <v>1945</v>
      </c>
      <c r="B146" s="339" t="s">
        <v>1946</v>
      </c>
      <c r="C146" s="339"/>
      <c r="D146" s="340" t="s">
        <v>1947</v>
      </c>
      <c r="E146" s="340" t="s">
        <v>1948</v>
      </c>
      <c r="F146" s="365">
        <v>11250</v>
      </c>
      <c r="G146" s="673">
        <v>0</v>
      </c>
      <c r="H146" s="673">
        <v>0</v>
      </c>
      <c r="I146" s="673">
        <v>0</v>
      </c>
      <c r="J146" s="673">
        <v>0</v>
      </c>
      <c r="K146" s="673">
        <v>0</v>
      </c>
      <c r="L146" s="673">
        <v>0</v>
      </c>
      <c r="M146" s="673">
        <v>0</v>
      </c>
      <c r="N146" s="673">
        <v>0</v>
      </c>
      <c r="O146" s="673">
        <v>0</v>
      </c>
      <c r="P146" s="673">
        <v>0</v>
      </c>
      <c r="Q146" s="673">
        <v>0</v>
      </c>
      <c r="R146" s="673">
        <v>11250</v>
      </c>
      <c r="S146" s="656">
        <f t="shared" si="14"/>
        <v>11250</v>
      </c>
      <c r="T146" s="617">
        <f t="shared" ca="1" si="15"/>
        <v>-1662</v>
      </c>
      <c r="U146" s="611">
        <v>42720</v>
      </c>
      <c r="V146" s="345" t="s">
        <v>1949</v>
      </c>
      <c r="W146" s="612"/>
      <c r="X146" s="613"/>
      <c r="Y146" s="613"/>
      <c r="Z146" s="613"/>
      <c r="AA146" s="613"/>
      <c r="AB146" s="613"/>
      <c r="AC146" s="616"/>
      <c r="AD146" s="346">
        <v>42705</v>
      </c>
      <c r="AE146" s="618">
        <f t="shared" ca="1" si="13"/>
        <v>-514</v>
      </c>
      <c r="AF146" s="339"/>
    </row>
    <row r="147" spans="1:32" s="541" customFormat="1" ht="25.5" x14ac:dyDescent="0.2">
      <c r="A147" s="646" t="s">
        <v>1631</v>
      </c>
      <c r="B147" s="339" t="s">
        <v>1612</v>
      </c>
      <c r="C147" s="339"/>
      <c r="D147" s="340" t="s">
        <v>1635</v>
      </c>
      <c r="E147" s="340" t="s">
        <v>1985</v>
      </c>
      <c r="F147" s="365">
        <v>30199.8</v>
      </c>
      <c r="G147" s="673">
        <v>0</v>
      </c>
      <c r="H147" s="673">
        <v>0</v>
      </c>
      <c r="I147" s="673">
        <v>0</v>
      </c>
      <c r="J147" s="673">
        <v>0</v>
      </c>
      <c r="K147" s="673">
        <v>0</v>
      </c>
      <c r="L147" s="673">
        <v>0</v>
      </c>
      <c r="M147" s="673">
        <v>0</v>
      </c>
      <c r="N147" s="673">
        <v>0</v>
      </c>
      <c r="O147" s="673">
        <v>0</v>
      </c>
      <c r="P147" s="673">
        <v>0</v>
      </c>
      <c r="Q147" s="673">
        <v>0</v>
      </c>
      <c r="R147" s="673">
        <v>0</v>
      </c>
      <c r="S147" s="656">
        <f t="shared" si="14"/>
        <v>0</v>
      </c>
      <c r="T147" s="617">
        <f t="shared" ca="1" si="15"/>
        <v>-1302</v>
      </c>
      <c r="U147" s="611">
        <v>43080</v>
      </c>
      <c r="V147" s="345" t="s">
        <v>1952</v>
      </c>
      <c r="W147" s="612"/>
      <c r="X147" s="613"/>
      <c r="Y147" s="613"/>
      <c r="Z147" s="613"/>
      <c r="AA147" s="613"/>
      <c r="AB147" s="613"/>
      <c r="AC147" s="616"/>
      <c r="AD147" s="346">
        <v>41985</v>
      </c>
      <c r="AE147" s="618">
        <f t="shared" ca="1" si="13"/>
        <v>205</v>
      </c>
      <c r="AF147" s="339" t="s">
        <v>48</v>
      </c>
    </row>
    <row r="148" spans="1:32" s="541" customFormat="1" ht="38.25" customHeight="1" x14ac:dyDescent="0.2">
      <c r="A148" s="646" t="s">
        <v>1756</v>
      </c>
      <c r="B148" s="339"/>
      <c r="C148" s="339" t="s">
        <v>1757</v>
      </c>
      <c r="D148" s="340" t="s">
        <v>1953</v>
      </c>
      <c r="E148" s="340" t="s">
        <v>1798</v>
      </c>
      <c r="F148" s="365" t="s">
        <v>314</v>
      </c>
      <c r="G148" s="673">
        <v>0</v>
      </c>
      <c r="H148" s="673">
        <v>0</v>
      </c>
      <c r="I148" s="673">
        <v>0</v>
      </c>
      <c r="J148" s="673">
        <v>0</v>
      </c>
      <c r="K148" s="673">
        <v>0</v>
      </c>
      <c r="L148" s="673">
        <v>0</v>
      </c>
      <c r="M148" s="673">
        <v>0</v>
      </c>
      <c r="N148" s="673">
        <v>0</v>
      </c>
      <c r="O148" s="673">
        <v>0</v>
      </c>
      <c r="P148" s="673">
        <v>0</v>
      </c>
      <c r="Q148" s="673">
        <v>0</v>
      </c>
      <c r="R148" s="673">
        <v>0</v>
      </c>
      <c r="S148" s="656">
        <f t="shared" si="14"/>
        <v>0</v>
      </c>
      <c r="T148" s="617">
        <f t="shared" ca="1" si="15"/>
        <v>-2017</v>
      </c>
      <c r="U148" s="611">
        <v>42365</v>
      </c>
      <c r="V148" s="345" t="s">
        <v>1959</v>
      </c>
      <c r="W148" s="612"/>
      <c r="X148" s="613"/>
      <c r="Y148" s="613"/>
      <c r="Z148" s="613"/>
      <c r="AA148" s="613"/>
      <c r="AB148" s="613"/>
      <c r="AC148" s="616"/>
      <c r="AD148" s="346">
        <v>42366</v>
      </c>
      <c r="AE148" s="618">
        <f t="shared" ca="1" si="13"/>
        <v>-176</v>
      </c>
      <c r="AF148" s="339" t="s">
        <v>1763</v>
      </c>
    </row>
    <row r="149" spans="1:32" s="541" customFormat="1" ht="51" x14ac:dyDescent="0.2">
      <c r="A149" s="646" t="s">
        <v>1756</v>
      </c>
      <c r="B149" s="339"/>
      <c r="C149" s="339" t="s">
        <v>1757</v>
      </c>
      <c r="D149" s="340" t="s">
        <v>1954</v>
      </c>
      <c r="E149" s="340" t="s">
        <v>1798</v>
      </c>
      <c r="F149" s="365" t="s">
        <v>314</v>
      </c>
      <c r="G149" s="673">
        <v>0</v>
      </c>
      <c r="H149" s="673">
        <v>0</v>
      </c>
      <c r="I149" s="673">
        <v>0</v>
      </c>
      <c r="J149" s="673">
        <v>0</v>
      </c>
      <c r="K149" s="673">
        <v>0</v>
      </c>
      <c r="L149" s="673">
        <v>0</v>
      </c>
      <c r="M149" s="673">
        <v>0</v>
      </c>
      <c r="N149" s="673">
        <v>0</v>
      </c>
      <c r="O149" s="673">
        <v>0</v>
      </c>
      <c r="P149" s="673">
        <v>0</v>
      </c>
      <c r="Q149" s="673">
        <v>0</v>
      </c>
      <c r="R149" s="673">
        <v>0</v>
      </c>
      <c r="S149" s="656">
        <f t="shared" si="14"/>
        <v>0</v>
      </c>
      <c r="T149" s="617">
        <f t="shared" ca="1" si="15"/>
        <v>-1613</v>
      </c>
      <c r="U149" s="611">
        <v>42769</v>
      </c>
      <c r="V149" s="345" t="s">
        <v>1958</v>
      </c>
      <c r="W149" s="612"/>
      <c r="X149" s="613"/>
      <c r="Y149" s="613"/>
      <c r="Z149" s="613"/>
      <c r="AA149" s="613"/>
      <c r="AB149" s="613"/>
      <c r="AC149" s="616"/>
      <c r="AD149" s="346">
        <v>42404</v>
      </c>
      <c r="AE149" s="618">
        <f t="shared" ca="1" si="13"/>
        <v>-214</v>
      </c>
      <c r="AF149" s="339" t="s">
        <v>1763</v>
      </c>
    </row>
    <row r="150" spans="1:32" s="541" customFormat="1" ht="38.25" customHeight="1" x14ac:dyDescent="0.2">
      <c r="A150" s="646" t="s">
        <v>1756</v>
      </c>
      <c r="B150" s="339"/>
      <c r="C150" s="339" t="s">
        <v>1757</v>
      </c>
      <c r="D150" s="340" t="s">
        <v>1956</v>
      </c>
      <c r="E150" s="340" t="s">
        <v>1798</v>
      </c>
      <c r="F150" s="365" t="s">
        <v>314</v>
      </c>
      <c r="G150" s="673">
        <v>0</v>
      </c>
      <c r="H150" s="673">
        <v>0</v>
      </c>
      <c r="I150" s="673">
        <v>0</v>
      </c>
      <c r="J150" s="673">
        <v>0</v>
      </c>
      <c r="K150" s="673">
        <v>0</v>
      </c>
      <c r="L150" s="673">
        <v>0</v>
      </c>
      <c r="M150" s="673">
        <v>0</v>
      </c>
      <c r="N150" s="673">
        <v>0</v>
      </c>
      <c r="O150" s="673">
        <v>0</v>
      </c>
      <c r="P150" s="673">
        <v>0</v>
      </c>
      <c r="Q150" s="673">
        <v>0</v>
      </c>
      <c r="R150" s="673">
        <v>0</v>
      </c>
      <c r="S150" s="656">
        <f t="shared" si="14"/>
        <v>0</v>
      </c>
      <c r="T150" s="617">
        <f t="shared" ca="1" si="15"/>
        <v>-1613</v>
      </c>
      <c r="U150" s="611">
        <v>42769</v>
      </c>
      <c r="V150" s="345" t="s">
        <v>1958</v>
      </c>
      <c r="W150" s="612"/>
      <c r="X150" s="613"/>
      <c r="Y150" s="613"/>
      <c r="Z150" s="613"/>
      <c r="AA150" s="613"/>
      <c r="AB150" s="613"/>
      <c r="AC150" s="616"/>
      <c r="AD150" s="346">
        <v>42404</v>
      </c>
      <c r="AE150" s="618">
        <f t="shared" ca="1" si="13"/>
        <v>-214</v>
      </c>
      <c r="AF150" s="339" t="s">
        <v>1763</v>
      </c>
    </row>
    <row r="151" spans="1:32" s="541" customFormat="1" ht="38.25" x14ac:dyDescent="0.2">
      <c r="A151" s="646" t="s">
        <v>1756</v>
      </c>
      <c r="B151" s="339"/>
      <c r="C151" s="339" t="s">
        <v>1757</v>
      </c>
      <c r="D151" s="340" t="s">
        <v>1955</v>
      </c>
      <c r="E151" s="340" t="s">
        <v>1798</v>
      </c>
      <c r="F151" s="365" t="s">
        <v>314</v>
      </c>
      <c r="G151" s="673">
        <v>0</v>
      </c>
      <c r="H151" s="673">
        <v>0</v>
      </c>
      <c r="I151" s="673">
        <v>0</v>
      </c>
      <c r="J151" s="673">
        <v>0</v>
      </c>
      <c r="K151" s="673">
        <v>0</v>
      </c>
      <c r="L151" s="673">
        <v>0</v>
      </c>
      <c r="M151" s="673">
        <v>0</v>
      </c>
      <c r="N151" s="673">
        <v>0</v>
      </c>
      <c r="O151" s="673">
        <v>0</v>
      </c>
      <c r="P151" s="673">
        <v>0</v>
      </c>
      <c r="Q151" s="673">
        <v>909.15</v>
      </c>
      <c r="R151" s="673">
        <v>0</v>
      </c>
      <c r="S151" s="656">
        <f t="shared" si="14"/>
        <v>909.15</v>
      </c>
      <c r="T151" s="617">
        <f t="shared" ca="1" si="15"/>
        <v>-1613</v>
      </c>
      <c r="U151" s="611">
        <v>42769</v>
      </c>
      <c r="V151" s="345" t="s">
        <v>1958</v>
      </c>
      <c r="W151" s="612"/>
      <c r="X151" s="613"/>
      <c r="Y151" s="613"/>
      <c r="Z151" s="613"/>
      <c r="AA151" s="613"/>
      <c r="AB151" s="613"/>
      <c r="AC151" s="616"/>
      <c r="AD151" s="346">
        <v>42404</v>
      </c>
      <c r="AE151" s="618">
        <f t="shared" ca="1" si="13"/>
        <v>-214</v>
      </c>
      <c r="AF151" s="339" t="s">
        <v>1763</v>
      </c>
    </row>
    <row r="152" spans="1:32" s="541" customFormat="1" ht="38.25" customHeight="1" x14ac:dyDescent="0.2">
      <c r="A152" s="646" t="s">
        <v>1756</v>
      </c>
      <c r="B152" s="339"/>
      <c r="C152" s="339" t="s">
        <v>1757</v>
      </c>
      <c r="D152" s="340" t="s">
        <v>1957</v>
      </c>
      <c r="E152" s="340" t="s">
        <v>1798</v>
      </c>
      <c r="F152" s="365" t="s">
        <v>314</v>
      </c>
      <c r="G152" s="673">
        <v>0</v>
      </c>
      <c r="H152" s="673">
        <v>0</v>
      </c>
      <c r="I152" s="673">
        <v>0</v>
      </c>
      <c r="J152" s="673">
        <v>0</v>
      </c>
      <c r="K152" s="673">
        <v>0</v>
      </c>
      <c r="L152" s="673">
        <v>0</v>
      </c>
      <c r="M152" s="673">
        <v>0</v>
      </c>
      <c r="N152" s="673">
        <v>0</v>
      </c>
      <c r="O152" s="673">
        <v>0</v>
      </c>
      <c r="P152" s="673">
        <v>0</v>
      </c>
      <c r="Q152" s="673">
        <v>0</v>
      </c>
      <c r="R152" s="673">
        <v>0</v>
      </c>
      <c r="S152" s="656">
        <f t="shared" si="14"/>
        <v>0</v>
      </c>
      <c r="T152" s="617">
        <f t="shared" ca="1" si="15"/>
        <v>-1613</v>
      </c>
      <c r="U152" s="611">
        <v>42769</v>
      </c>
      <c r="V152" s="345" t="s">
        <v>1958</v>
      </c>
      <c r="W152" s="612"/>
      <c r="X152" s="613"/>
      <c r="Y152" s="613"/>
      <c r="Z152" s="613"/>
      <c r="AA152" s="613"/>
      <c r="AB152" s="613"/>
      <c r="AC152" s="616"/>
      <c r="AD152" s="346">
        <v>42404</v>
      </c>
      <c r="AE152" s="618">
        <f t="shared" ca="1" si="13"/>
        <v>-214</v>
      </c>
      <c r="AF152" s="339" t="s">
        <v>1763</v>
      </c>
    </row>
    <row r="153" spans="1:32" s="541" customFormat="1" ht="51" x14ac:dyDescent="0.2">
      <c r="A153" s="646" t="s">
        <v>1960</v>
      </c>
      <c r="B153" s="339"/>
      <c r="C153" s="339" t="s">
        <v>1961</v>
      </c>
      <c r="D153" s="340" t="s">
        <v>1962</v>
      </c>
      <c r="E153" s="340" t="s">
        <v>1963</v>
      </c>
      <c r="F153" s="365">
        <v>27900</v>
      </c>
      <c r="G153" s="673">
        <v>0</v>
      </c>
      <c r="H153" s="673">
        <v>0</v>
      </c>
      <c r="I153" s="673">
        <v>0</v>
      </c>
      <c r="J153" s="673">
        <v>2325</v>
      </c>
      <c r="K153" s="673">
        <v>2325</v>
      </c>
      <c r="L153" s="673">
        <v>2325</v>
      </c>
      <c r="M153" s="673">
        <v>2325</v>
      </c>
      <c r="N153" s="673">
        <v>2325</v>
      </c>
      <c r="O153" s="673">
        <v>2325</v>
      </c>
      <c r="P153" s="673">
        <v>2325</v>
      </c>
      <c r="Q153" s="673">
        <v>2325</v>
      </c>
      <c r="R153" s="673">
        <v>2325</v>
      </c>
      <c r="S153" s="656">
        <f t="shared" si="14"/>
        <v>20925</v>
      </c>
      <c r="T153" s="617">
        <f t="shared" ca="1" si="15"/>
        <v>-1600</v>
      </c>
      <c r="U153" s="611">
        <v>42782</v>
      </c>
      <c r="V153" s="345" t="s">
        <v>1964</v>
      </c>
      <c r="W153" s="612"/>
      <c r="X153" s="613"/>
      <c r="Y153" s="613"/>
      <c r="Z153" s="613"/>
      <c r="AA153" s="613"/>
      <c r="AB153" s="613"/>
      <c r="AC153" s="616"/>
      <c r="AD153" s="346">
        <v>42417</v>
      </c>
      <c r="AE153" s="618">
        <f t="shared" ca="1" si="13"/>
        <v>-227</v>
      </c>
      <c r="AF153" s="339" t="s">
        <v>169</v>
      </c>
    </row>
    <row r="154" spans="1:32" s="541" customFormat="1" ht="51" x14ac:dyDescent="0.2">
      <c r="A154" s="646" t="s">
        <v>1976</v>
      </c>
      <c r="B154" s="339"/>
      <c r="C154" s="339" t="s">
        <v>1980</v>
      </c>
      <c r="D154" s="340" t="s">
        <v>1977</v>
      </c>
      <c r="E154" s="340" t="s">
        <v>1978</v>
      </c>
      <c r="F154" s="365">
        <v>364512.88</v>
      </c>
      <c r="G154" s="673">
        <v>0</v>
      </c>
      <c r="H154" s="673">
        <v>0</v>
      </c>
      <c r="I154" s="673">
        <v>0</v>
      </c>
      <c r="J154" s="673">
        <v>0</v>
      </c>
      <c r="K154" s="673">
        <v>0</v>
      </c>
      <c r="L154" s="673">
        <v>0</v>
      </c>
      <c r="M154" s="673">
        <v>0</v>
      </c>
      <c r="N154" s="673">
        <v>0</v>
      </c>
      <c r="O154" s="673">
        <v>0</v>
      </c>
      <c r="P154" s="673">
        <v>0</v>
      </c>
      <c r="Q154" s="673">
        <v>0</v>
      </c>
      <c r="R154" s="673">
        <v>0</v>
      </c>
      <c r="S154" s="656">
        <f t="shared" si="14"/>
        <v>0</v>
      </c>
      <c r="T154" s="617">
        <f t="shared" ca="1" si="15"/>
        <v>-1293</v>
      </c>
      <c r="U154" s="611">
        <v>43089</v>
      </c>
      <c r="V154" s="345" t="s">
        <v>1979</v>
      </c>
      <c r="W154" s="612"/>
      <c r="X154" s="613"/>
      <c r="Y154" s="613"/>
      <c r="Z154" s="613"/>
      <c r="AA154" s="613"/>
      <c r="AB154" s="613"/>
      <c r="AC154" s="616"/>
      <c r="AD154" s="346">
        <v>42725</v>
      </c>
      <c r="AE154" s="618">
        <f t="shared" ca="1" si="13"/>
        <v>-534</v>
      </c>
      <c r="AF154" s="339"/>
    </row>
    <row r="155" spans="1:32" s="541" customFormat="1" ht="51" x14ac:dyDescent="0.2">
      <c r="A155" s="646" t="s">
        <v>1976</v>
      </c>
      <c r="B155" s="339"/>
      <c r="C155" s="339" t="s">
        <v>1980</v>
      </c>
      <c r="D155" s="340" t="s">
        <v>1981</v>
      </c>
      <c r="E155" s="340" t="s">
        <v>1982</v>
      </c>
      <c r="F155" s="365">
        <v>327836</v>
      </c>
      <c r="G155" s="673">
        <v>0</v>
      </c>
      <c r="H155" s="673">
        <v>0</v>
      </c>
      <c r="I155" s="673">
        <v>0</v>
      </c>
      <c r="J155" s="673">
        <v>0</v>
      </c>
      <c r="K155" s="673">
        <v>0</v>
      </c>
      <c r="L155" s="673">
        <v>0</v>
      </c>
      <c r="M155" s="673">
        <v>0</v>
      </c>
      <c r="N155" s="673">
        <v>0</v>
      </c>
      <c r="O155" s="673">
        <v>0</v>
      </c>
      <c r="P155" s="673">
        <v>0</v>
      </c>
      <c r="Q155" s="673">
        <v>0</v>
      </c>
      <c r="R155" s="673">
        <v>0</v>
      </c>
      <c r="S155" s="656">
        <f t="shared" si="14"/>
        <v>0</v>
      </c>
      <c r="T155" s="617">
        <f t="shared" ca="1" si="15"/>
        <v>-1293</v>
      </c>
      <c r="U155" s="611">
        <v>43089</v>
      </c>
      <c r="V155" s="345" t="s">
        <v>1979</v>
      </c>
      <c r="W155" s="612"/>
      <c r="X155" s="613"/>
      <c r="Y155" s="613"/>
      <c r="Z155" s="613"/>
      <c r="AA155" s="613"/>
      <c r="AB155" s="613"/>
      <c r="AC155" s="616"/>
      <c r="AD155" s="346">
        <v>42725</v>
      </c>
      <c r="AE155" s="618">
        <f t="shared" ca="1" si="13"/>
        <v>-534</v>
      </c>
      <c r="AF155" s="339"/>
    </row>
    <row r="156" spans="1:32" s="541" customFormat="1" ht="51" x14ac:dyDescent="0.2">
      <c r="A156" s="646" t="s">
        <v>1976</v>
      </c>
      <c r="B156" s="339"/>
      <c r="C156" s="339" t="s">
        <v>1980</v>
      </c>
      <c r="D156" s="340" t="s">
        <v>1547</v>
      </c>
      <c r="E156" s="340" t="s">
        <v>1983</v>
      </c>
      <c r="F156" s="365">
        <v>1466.41</v>
      </c>
      <c r="G156" s="673">
        <v>0</v>
      </c>
      <c r="H156" s="673">
        <v>0</v>
      </c>
      <c r="I156" s="673">
        <v>0</v>
      </c>
      <c r="J156" s="673">
        <v>0</v>
      </c>
      <c r="K156" s="673">
        <v>0</v>
      </c>
      <c r="L156" s="673">
        <v>0</v>
      </c>
      <c r="M156" s="673">
        <v>0</v>
      </c>
      <c r="N156" s="673">
        <v>0</v>
      </c>
      <c r="O156" s="673">
        <v>0</v>
      </c>
      <c r="P156" s="673">
        <v>0</v>
      </c>
      <c r="Q156" s="673">
        <v>0</v>
      </c>
      <c r="R156" s="673">
        <v>0</v>
      </c>
      <c r="S156" s="656">
        <f t="shared" si="14"/>
        <v>0</v>
      </c>
      <c r="T156" s="617">
        <f t="shared" ca="1" si="15"/>
        <v>-1293</v>
      </c>
      <c r="U156" s="611">
        <v>43089</v>
      </c>
      <c r="V156" s="345" t="s">
        <v>1979</v>
      </c>
      <c r="W156" s="612"/>
      <c r="X156" s="613"/>
      <c r="Y156" s="613"/>
      <c r="Z156" s="613"/>
      <c r="AA156" s="613"/>
      <c r="AB156" s="613"/>
      <c r="AC156" s="616"/>
      <c r="AD156" s="346">
        <v>42725</v>
      </c>
      <c r="AE156" s="618">
        <f t="shared" ca="1" si="13"/>
        <v>-534</v>
      </c>
      <c r="AF156" s="339"/>
    </row>
    <row r="157" spans="1:32" s="541" customFormat="1" x14ac:dyDescent="0.2">
      <c r="A157" s="646"/>
      <c r="B157" s="339"/>
      <c r="C157" s="339"/>
      <c r="D157" s="340"/>
      <c r="E157" s="340"/>
      <c r="F157" s="365"/>
      <c r="G157" s="673"/>
      <c r="H157" s="673"/>
      <c r="I157" s="673"/>
      <c r="J157" s="673"/>
      <c r="K157" s="673"/>
      <c r="L157" s="673"/>
      <c r="M157" s="673"/>
      <c r="N157" s="673"/>
      <c r="O157" s="673"/>
      <c r="P157" s="673"/>
      <c r="Q157" s="673"/>
      <c r="R157" s="673"/>
      <c r="S157" s="656">
        <f t="shared" si="14"/>
        <v>0</v>
      </c>
      <c r="T157" s="617">
        <f t="shared" ca="1" si="15"/>
        <v>-44382</v>
      </c>
      <c r="U157" s="611"/>
      <c r="V157" s="345"/>
      <c r="W157" s="612"/>
      <c r="X157" s="613"/>
      <c r="Y157" s="613"/>
      <c r="Z157" s="613"/>
      <c r="AA157" s="613"/>
      <c r="AB157" s="613"/>
      <c r="AC157" s="616"/>
      <c r="AD157" s="346"/>
      <c r="AE157" s="618">
        <f t="shared" ca="1" si="13"/>
        <v>42190</v>
      </c>
      <c r="AF157" s="339"/>
    </row>
    <row r="158" spans="1:32" s="541" customFormat="1" x14ac:dyDescent="0.2">
      <c r="A158" s="646"/>
      <c r="B158" s="339"/>
      <c r="C158" s="339"/>
      <c r="D158" s="340"/>
      <c r="E158" s="340"/>
      <c r="F158" s="365"/>
      <c r="G158" s="673"/>
      <c r="H158" s="673"/>
      <c r="I158" s="673"/>
      <c r="J158" s="673"/>
      <c r="K158" s="673"/>
      <c r="L158" s="673"/>
      <c r="M158" s="673"/>
      <c r="N158" s="673"/>
      <c r="O158" s="673"/>
      <c r="P158" s="673"/>
      <c r="Q158" s="673"/>
      <c r="R158" s="673"/>
      <c r="S158" s="656">
        <f t="shared" si="14"/>
        <v>0</v>
      </c>
      <c r="T158" s="617">
        <f t="shared" ca="1" si="15"/>
        <v>-44382</v>
      </c>
      <c r="U158" s="611"/>
      <c r="V158" s="345"/>
      <c r="W158" s="612"/>
      <c r="X158" s="613"/>
      <c r="Y158" s="613"/>
      <c r="Z158" s="613"/>
      <c r="AA158" s="613"/>
      <c r="AB158" s="613"/>
      <c r="AC158" s="616"/>
      <c r="AD158" s="346"/>
      <c r="AE158" s="618">
        <f t="shared" ca="1" si="13"/>
        <v>42190</v>
      </c>
      <c r="AF158" s="339"/>
    </row>
    <row r="159" spans="1:32" s="541" customFormat="1" x14ac:dyDescent="0.2">
      <c r="A159" s="646"/>
      <c r="B159" s="339"/>
      <c r="C159" s="339"/>
      <c r="D159" s="340"/>
      <c r="E159" s="340"/>
      <c r="F159" s="365"/>
      <c r="G159" s="673"/>
      <c r="H159" s="673"/>
      <c r="I159" s="673"/>
      <c r="J159" s="673"/>
      <c r="K159" s="673"/>
      <c r="L159" s="673"/>
      <c r="M159" s="673"/>
      <c r="N159" s="673"/>
      <c r="O159" s="673"/>
      <c r="P159" s="673"/>
      <c r="Q159" s="673"/>
      <c r="R159" s="673"/>
      <c r="S159" s="656">
        <f t="shared" si="14"/>
        <v>0</v>
      </c>
      <c r="T159" s="617">
        <f t="shared" ca="1" si="15"/>
        <v>-44382</v>
      </c>
      <c r="U159" s="611"/>
      <c r="V159" s="345"/>
      <c r="W159" s="612"/>
      <c r="X159" s="613"/>
      <c r="Y159" s="613"/>
      <c r="Z159" s="613"/>
      <c r="AA159" s="613"/>
      <c r="AB159" s="613"/>
      <c r="AC159" s="616"/>
      <c r="AD159" s="346"/>
      <c r="AE159" s="618">
        <f t="shared" ca="1" si="13"/>
        <v>42190</v>
      </c>
      <c r="AF159" s="339"/>
    </row>
    <row r="160" spans="1:32" s="541" customFormat="1" x14ac:dyDescent="0.2">
      <c r="A160" s="646"/>
      <c r="B160" s="339"/>
      <c r="C160" s="339"/>
      <c r="D160" s="340"/>
      <c r="E160" s="340"/>
      <c r="F160" s="365"/>
      <c r="G160" s="673"/>
      <c r="H160" s="673"/>
      <c r="I160" s="673"/>
      <c r="J160" s="673"/>
      <c r="K160" s="673"/>
      <c r="L160" s="673"/>
      <c r="M160" s="673"/>
      <c r="N160" s="673"/>
      <c r="O160" s="673"/>
      <c r="P160" s="673"/>
      <c r="Q160" s="673"/>
      <c r="R160" s="673"/>
      <c r="S160" s="656">
        <f t="shared" si="14"/>
        <v>0</v>
      </c>
      <c r="T160" s="617">
        <f t="shared" ca="1" si="15"/>
        <v>-44382</v>
      </c>
      <c r="U160" s="611"/>
      <c r="V160" s="345"/>
      <c r="W160" s="612"/>
      <c r="X160" s="613"/>
      <c r="Y160" s="613"/>
      <c r="Z160" s="613"/>
      <c r="AA160" s="613"/>
      <c r="AB160" s="613"/>
      <c r="AC160" s="616"/>
      <c r="AD160" s="346"/>
      <c r="AE160" s="618">
        <f t="shared" ca="1" si="13"/>
        <v>42190</v>
      </c>
      <c r="AF160" s="339"/>
    </row>
    <row r="161" spans="1:32" s="541" customFormat="1" x14ac:dyDescent="0.2">
      <c r="A161" s="646"/>
      <c r="B161" s="339"/>
      <c r="C161" s="339"/>
      <c r="D161" s="340"/>
      <c r="E161" s="340"/>
      <c r="F161" s="365"/>
      <c r="G161" s="673"/>
      <c r="H161" s="673"/>
      <c r="I161" s="673"/>
      <c r="J161" s="673"/>
      <c r="K161" s="673"/>
      <c r="L161" s="673"/>
      <c r="M161" s="673"/>
      <c r="N161" s="673"/>
      <c r="O161" s="673"/>
      <c r="P161" s="673"/>
      <c r="Q161" s="673"/>
      <c r="R161" s="673"/>
      <c r="S161" s="656">
        <f t="shared" si="11"/>
        <v>0</v>
      </c>
      <c r="T161" s="617">
        <f t="shared" ca="1" si="15"/>
        <v>-44382</v>
      </c>
      <c r="U161" s="611"/>
      <c r="V161" s="345"/>
      <c r="W161" s="612"/>
      <c r="X161" s="613"/>
      <c r="Y161" s="613"/>
      <c r="Z161" s="613"/>
      <c r="AA161" s="613"/>
      <c r="AB161" s="613"/>
      <c r="AC161" s="616"/>
      <c r="AD161" s="346"/>
      <c r="AE161" s="618">
        <f t="shared" ca="1" si="13"/>
        <v>42190</v>
      </c>
      <c r="AF161" s="339"/>
    </row>
    <row r="162" spans="1:32" s="541" customFormat="1" x14ac:dyDescent="0.2">
      <c r="A162" s="646"/>
      <c r="B162" s="339"/>
      <c r="C162" s="339"/>
      <c r="D162" s="340"/>
      <c r="E162" s="340"/>
      <c r="F162" s="365"/>
      <c r="G162" s="673"/>
      <c r="H162" s="673"/>
      <c r="I162" s="673"/>
      <c r="J162" s="673"/>
      <c r="K162" s="673"/>
      <c r="L162" s="673"/>
      <c r="M162" s="673"/>
      <c r="N162" s="673"/>
      <c r="O162" s="673"/>
      <c r="P162" s="673"/>
      <c r="Q162" s="673"/>
      <c r="R162" s="673"/>
      <c r="S162" s="656">
        <f t="shared" si="11"/>
        <v>0</v>
      </c>
      <c r="T162" s="617">
        <f t="shared" ca="1" si="15"/>
        <v>-44382</v>
      </c>
      <c r="U162" s="611"/>
      <c r="V162" s="345"/>
      <c r="W162" s="612"/>
      <c r="X162" s="613"/>
      <c r="Y162" s="613"/>
      <c r="Z162" s="613"/>
      <c r="AA162" s="613"/>
      <c r="AB162" s="613"/>
      <c r="AC162" s="616"/>
      <c r="AD162" s="346"/>
      <c r="AE162" s="618">
        <f t="shared" ca="1" si="13"/>
        <v>42190</v>
      </c>
      <c r="AF162" s="339"/>
    </row>
    <row r="166" spans="1:32" x14ac:dyDescent="0.2">
      <c r="D166" s="53" t="s">
        <v>1083</v>
      </c>
      <c r="E166" s="54" t="s">
        <v>1075</v>
      </c>
    </row>
    <row r="167" spans="1:32" x14ac:dyDescent="0.2">
      <c r="D167" s="53" t="s">
        <v>1084</v>
      </c>
      <c r="E167" s="253" t="s">
        <v>1076</v>
      </c>
    </row>
    <row r="168" spans="1:32" x14ac:dyDescent="0.2">
      <c r="D168" s="53" t="s">
        <v>1085</v>
      </c>
      <c r="E168" s="253" t="s">
        <v>1077</v>
      </c>
    </row>
    <row r="169" spans="1:32" x14ac:dyDescent="0.2">
      <c r="D169" s="1" t="s">
        <v>1086</v>
      </c>
      <c r="E169" s="253" t="s">
        <v>1078</v>
      </c>
    </row>
    <row r="170" spans="1:32" x14ac:dyDescent="0.2">
      <c r="D170" s="1" t="s">
        <v>1072</v>
      </c>
      <c r="E170" s="253" t="s">
        <v>1079</v>
      </c>
    </row>
    <row r="171" spans="1:32" x14ac:dyDescent="0.2">
      <c r="D171" s="308" t="s">
        <v>1071</v>
      </c>
      <c r="E171" s="253" t="s">
        <v>1080</v>
      </c>
    </row>
    <row r="172" spans="1:32" x14ac:dyDescent="0.2">
      <c r="D172" s="1" t="s">
        <v>1070</v>
      </c>
      <c r="E172" s="54" t="s">
        <v>1081</v>
      </c>
    </row>
    <row r="173" spans="1:32" x14ac:dyDescent="0.2">
      <c r="E173" s="471" t="s">
        <v>1082</v>
      </c>
    </row>
    <row r="174" spans="1:32" x14ac:dyDescent="0.2">
      <c r="E174" s="253" t="s">
        <v>1100</v>
      </c>
    </row>
    <row r="175" spans="1:32" x14ac:dyDescent="0.2">
      <c r="E175" s="253" t="s">
        <v>1860</v>
      </c>
    </row>
  </sheetData>
  <mergeCells count="17">
    <mergeCell ref="V3:W3"/>
    <mergeCell ref="A4:A5"/>
    <mergeCell ref="B4:B5"/>
    <mergeCell ref="C4:C5"/>
    <mergeCell ref="D4:D5"/>
    <mergeCell ref="E4:E5"/>
    <mergeCell ref="F4:F5"/>
    <mergeCell ref="AC4:AC5"/>
    <mergeCell ref="AD4:AD5"/>
    <mergeCell ref="H8:R8"/>
    <mergeCell ref="AF4:AF5"/>
    <mergeCell ref="G4:S4"/>
    <mergeCell ref="T4:T5"/>
    <mergeCell ref="U4:U5"/>
    <mergeCell ref="V4:V5"/>
    <mergeCell ref="W4:W5"/>
    <mergeCell ref="X4:AB4"/>
  </mergeCells>
  <pageMargins left="0.511811024" right="0.511811024" top="0.78740157499999996" bottom="0.78740157499999996" header="0.31496062000000002" footer="0.31496062000000002"/>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2"/>
  <sheetViews>
    <sheetView topLeftCell="E4" zoomScale="118" zoomScaleNormal="118" workbookViewId="0">
      <selection activeCell="J48" sqref="J48"/>
    </sheetView>
  </sheetViews>
  <sheetFormatPr defaultRowHeight="14.1" customHeight="1" x14ac:dyDescent="0.2"/>
  <cols>
    <col min="1" max="1" width="9.7109375" style="1" bestFit="1" customWidth="1"/>
    <col min="2" max="2" width="10.85546875" style="1" customWidth="1"/>
    <col min="3" max="3" width="14.85546875" style="1" customWidth="1"/>
    <col min="4" max="4" width="51.85546875" style="1" customWidth="1"/>
    <col min="5" max="5" width="62.42578125" style="1" customWidth="1"/>
    <col min="6" max="6" width="0" style="6" hidden="1" customWidth="1"/>
    <col min="7" max="7" width="14.28515625" style="2" customWidth="1"/>
    <col min="8" max="8" width="0" style="2" hidden="1" customWidth="1"/>
    <col min="9" max="9" width="10.28515625" style="55" customWidth="1"/>
    <col min="10" max="10" width="28.5703125" style="2" customWidth="1"/>
    <col min="11" max="17" width="0" style="1" hidden="1" customWidth="1"/>
    <col min="18" max="18" width="17.5703125" style="1" customWidth="1"/>
    <col min="19" max="19" width="0" style="1" hidden="1" customWidth="1"/>
    <col min="20" max="20" width="6.85546875" style="1" customWidth="1"/>
    <col min="21" max="16384" width="9.140625" style="1"/>
  </cols>
  <sheetData>
    <row r="1" spans="1:20" ht="11.1" customHeight="1" x14ac:dyDescent="0.2"/>
    <row r="2" spans="1:20" ht="11.1" customHeight="1" x14ac:dyDescent="0.2"/>
    <row r="3" spans="1:20" ht="11.1" customHeight="1" x14ac:dyDescent="0.2"/>
    <row r="4" spans="1:20" ht="11.1" customHeight="1" x14ac:dyDescent="0.2"/>
    <row r="5" spans="1:20" ht="11.1" customHeight="1" x14ac:dyDescent="0.2"/>
    <row r="6" spans="1:20" ht="15.6" customHeight="1" x14ac:dyDescent="0.2">
      <c r="J6" s="932"/>
      <c r="K6" s="932"/>
      <c r="R6" s="56" t="s">
        <v>0</v>
      </c>
    </row>
    <row r="7" spans="1:20" ht="12.6" customHeight="1" x14ac:dyDescent="0.2">
      <c r="J7" s="1"/>
      <c r="K7" s="4"/>
      <c r="R7" s="56">
        <v>39686</v>
      </c>
    </row>
    <row r="8" spans="1:20" ht="16.350000000000001" customHeight="1" x14ac:dyDescent="0.25">
      <c r="A8" s="929" t="s">
        <v>1</v>
      </c>
      <c r="B8" s="929"/>
      <c r="C8" s="929"/>
      <c r="D8" s="929"/>
      <c r="E8" s="929"/>
      <c r="F8" s="929"/>
      <c r="G8" s="929"/>
      <c r="H8" s="929"/>
      <c r="I8" s="929"/>
      <c r="J8" s="929"/>
      <c r="K8" s="929"/>
      <c r="L8" s="929"/>
      <c r="M8" s="929"/>
      <c r="N8" s="929"/>
      <c r="O8" s="929"/>
      <c r="P8" s="929"/>
      <c r="Q8" s="929"/>
      <c r="R8" s="929"/>
      <c r="S8" s="929"/>
      <c r="T8" s="929"/>
    </row>
    <row r="9" spans="1:20" s="6" customFormat="1" ht="13.9" customHeight="1" x14ac:dyDescent="0.2">
      <c r="A9" s="930" t="s">
        <v>2</v>
      </c>
      <c r="B9" s="928" t="s">
        <v>3</v>
      </c>
      <c r="C9" s="928" t="s">
        <v>4</v>
      </c>
      <c r="D9" s="928" t="s">
        <v>5</v>
      </c>
      <c r="E9" s="928" t="s">
        <v>6</v>
      </c>
      <c r="F9" s="928" t="s">
        <v>240</v>
      </c>
      <c r="G9" s="928" t="s">
        <v>7</v>
      </c>
      <c r="H9" s="933" t="s">
        <v>241</v>
      </c>
      <c r="I9" s="934" t="s">
        <v>8</v>
      </c>
      <c r="J9" s="928" t="s">
        <v>9</v>
      </c>
      <c r="K9" s="928" t="s">
        <v>10</v>
      </c>
      <c r="L9" s="931" t="s">
        <v>11</v>
      </c>
      <c r="M9" s="931"/>
      <c r="N9" s="931"/>
      <c r="O9" s="931"/>
      <c r="P9" s="931"/>
      <c r="Q9" s="928" t="s">
        <v>12</v>
      </c>
      <c r="R9" s="57" t="s">
        <v>242</v>
      </c>
      <c r="S9" s="5" t="s">
        <v>14</v>
      </c>
      <c r="T9" s="926" t="s">
        <v>15</v>
      </c>
    </row>
    <row r="10" spans="1:20" s="6" customFormat="1" ht="13.9" customHeight="1" x14ac:dyDescent="0.2">
      <c r="A10" s="930"/>
      <c r="B10" s="928"/>
      <c r="C10" s="928"/>
      <c r="D10" s="928"/>
      <c r="E10" s="928"/>
      <c r="F10" s="928"/>
      <c r="G10" s="928"/>
      <c r="H10" s="933"/>
      <c r="I10" s="934"/>
      <c r="J10" s="928"/>
      <c r="K10" s="928"/>
      <c r="L10" s="7" t="s">
        <v>16</v>
      </c>
      <c r="M10" s="7" t="s">
        <v>17</v>
      </c>
      <c r="N10" s="7" t="s">
        <v>18</v>
      </c>
      <c r="O10" s="7" t="s">
        <v>19</v>
      </c>
      <c r="P10" s="7" t="s">
        <v>20</v>
      </c>
      <c r="Q10" s="928"/>
      <c r="R10" s="58" t="s">
        <v>243</v>
      </c>
      <c r="S10" s="8" t="s">
        <v>244</v>
      </c>
      <c r="T10" s="926"/>
    </row>
    <row r="11" spans="1:20" s="6" customFormat="1" ht="12.75" hidden="1" customHeight="1" x14ac:dyDescent="0.2">
      <c r="A11" s="59" t="s">
        <v>77</v>
      </c>
      <c r="B11" s="60" t="s">
        <v>23</v>
      </c>
      <c r="C11" s="60" t="s">
        <v>24</v>
      </c>
      <c r="D11" s="61" t="s">
        <v>78</v>
      </c>
      <c r="E11" s="61" t="s">
        <v>79</v>
      </c>
      <c r="F11" s="60" t="s">
        <v>245</v>
      </c>
      <c r="G11" s="62" t="s">
        <v>80</v>
      </c>
      <c r="H11" s="63">
        <f t="shared" ref="H11:H55" si="0">I11-$K$7</f>
        <v>39265</v>
      </c>
      <c r="I11" s="64">
        <v>39265</v>
      </c>
      <c r="J11" s="65" t="s">
        <v>81</v>
      </c>
      <c r="K11" s="66"/>
      <c r="L11" s="66"/>
      <c r="M11" s="66"/>
      <c r="N11" s="66"/>
      <c r="O11" s="66"/>
      <c r="P11" s="66"/>
      <c r="Q11" s="66"/>
      <c r="R11" s="67">
        <v>38930</v>
      </c>
      <c r="S11" s="17">
        <f t="shared" ref="S11:S33" ca="1" si="1">DATE(YEAR(R11)+6,MONTH(R11),DAY(R11))-TODAY()</f>
        <v>-3260</v>
      </c>
      <c r="T11" s="68" t="s">
        <v>34</v>
      </c>
    </row>
    <row r="12" spans="1:20" ht="15.95" customHeight="1" x14ac:dyDescent="0.2">
      <c r="A12" s="21" t="s">
        <v>72</v>
      </c>
      <c r="B12" s="10" t="s">
        <v>23</v>
      </c>
      <c r="C12" s="10" t="s">
        <v>61</v>
      </c>
      <c r="D12" s="11" t="s">
        <v>73</v>
      </c>
      <c r="E12" s="11" t="s">
        <v>74</v>
      </c>
      <c r="F12" s="10" t="s">
        <v>246</v>
      </c>
      <c r="G12" s="12" t="s">
        <v>75</v>
      </c>
      <c r="H12" s="63">
        <f t="shared" si="0"/>
        <v>39609</v>
      </c>
      <c r="I12" s="13">
        <v>39609</v>
      </c>
      <c r="J12" s="27" t="s">
        <v>247</v>
      </c>
      <c r="K12" s="15"/>
      <c r="L12" s="15"/>
      <c r="M12" s="15"/>
      <c r="N12" s="15"/>
      <c r="O12" s="15"/>
      <c r="P12" s="15"/>
      <c r="Q12" s="15"/>
      <c r="R12" s="16">
        <v>37417</v>
      </c>
      <c r="S12" s="17">
        <f t="shared" ca="1" si="1"/>
        <v>-4773</v>
      </c>
      <c r="T12" s="18" t="s">
        <v>34</v>
      </c>
    </row>
    <row r="13" spans="1:20" ht="15.95" customHeight="1" x14ac:dyDescent="0.2">
      <c r="A13" s="9" t="s">
        <v>91</v>
      </c>
      <c r="B13" s="20" t="s">
        <v>92</v>
      </c>
      <c r="C13" s="10" t="s">
        <v>67</v>
      </c>
      <c r="D13" s="11" t="s">
        <v>93</v>
      </c>
      <c r="E13" s="11" t="s">
        <v>94</v>
      </c>
      <c r="F13" s="10" t="s">
        <v>248</v>
      </c>
      <c r="G13" s="12">
        <f>781176.84+17967.07</f>
        <v>799143.90999999992</v>
      </c>
      <c r="H13" s="63">
        <f t="shared" si="0"/>
        <v>39670</v>
      </c>
      <c r="I13" s="13">
        <v>39670</v>
      </c>
      <c r="J13" s="14" t="s">
        <v>249</v>
      </c>
      <c r="K13" s="15"/>
      <c r="L13" s="15"/>
      <c r="M13" s="15"/>
      <c r="N13" s="15"/>
      <c r="O13" s="15"/>
      <c r="P13" s="15"/>
      <c r="Q13" s="15"/>
      <c r="R13" s="16">
        <v>37844</v>
      </c>
      <c r="S13" s="17">
        <f t="shared" ca="1" si="1"/>
        <v>-4346</v>
      </c>
      <c r="T13" s="18" t="s">
        <v>96</v>
      </c>
    </row>
    <row r="14" spans="1:20" ht="15.95" customHeight="1" x14ac:dyDescent="0.2">
      <c r="A14" s="9" t="s">
        <v>250</v>
      </c>
      <c r="B14" s="20" t="s">
        <v>251</v>
      </c>
      <c r="C14" s="10" t="s">
        <v>226</v>
      </c>
      <c r="D14" s="11" t="s">
        <v>44</v>
      </c>
      <c r="E14" s="11" t="s">
        <v>252</v>
      </c>
      <c r="F14" s="10" t="s">
        <v>253</v>
      </c>
      <c r="G14" s="12">
        <v>133664.16</v>
      </c>
      <c r="H14" s="63">
        <f t="shared" si="0"/>
        <v>39693</v>
      </c>
      <c r="I14" s="13">
        <v>39693</v>
      </c>
      <c r="J14" s="14" t="s">
        <v>254</v>
      </c>
      <c r="K14" s="15"/>
      <c r="L14" s="15"/>
      <c r="M14" s="15"/>
      <c r="N14" s="15"/>
      <c r="O14" s="15"/>
      <c r="P14" s="15"/>
      <c r="Q14" s="15"/>
      <c r="R14" s="16">
        <v>39328</v>
      </c>
      <c r="S14" s="17">
        <f t="shared" ca="1" si="1"/>
        <v>-2862</v>
      </c>
      <c r="T14" s="18" t="s">
        <v>48</v>
      </c>
    </row>
    <row r="15" spans="1:20" ht="15.95" customHeight="1" x14ac:dyDescent="0.2">
      <c r="A15" s="9" t="s">
        <v>97</v>
      </c>
      <c r="B15" s="10" t="s">
        <v>23</v>
      </c>
      <c r="C15" s="10" t="s">
        <v>61</v>
      </c>
      <c r="D15" s="11" t="s">
        <v>98</v>
      </c>
      <c r="E15" s="11" t="s">
        <v>99</v>
      </c>
      <c r="F15" s="10" t="s">
        <v>255</v>
      </c>
      <c r="G15" s="12" t="s">
        <v>100</v>
      </c>
      <c r="H15" s="63">
        <f t="shared" si="0"/>
        <v>39710</v>
      </c>
      <c r="I15" s="13">
        <v>39710</v>
      </c>
      <c r="J15" s="14" t="s">
        <v>256</v>
      </c>
      <c r="K15" s="15"/>
      <c r="L15" s="15"/>
      <c r="M15" s="15"/>
      <c r="N15" s="15"/>
      <c r="O15" s="15"/>
      <c r="P15" s="15"/>
      <c r="Q15" s="15"/>
      <c r="R15" s="16">
        <v>38249</v>
      </c>
      <c r="S15" s="17">
        <f t="shared" ca="1" si="1"/>
        <v>-3942</v>
      </c>
      <c r="T15" s="18" t="s">
        <v>48</v>
      </c>
    </row>
    <row r="16" spans="1:20" ht="15.95" customHeight="1" x14ac:dyDescent="0.2">
      <c r="A16" s="9" t="s">
        <v>102</v>
      </c>
      <c r="B16" s="10" t="s">
        <v>23</v>
      </c>
      <c r="C16" s="10" t="s">
        <v>56</v>
      </c>
      <c r="D16" s="11" t="s">
        <v>103</v>
      </c>
      <c r="E16" s="11" t="s">
        <v>104</v>
      </c>
      <c r="F16" s="10" t="s">
        <v>257</v>
      </c>
      <c r="G16" s="12">
        <v>1612.68</v>
      </c>
      <c r="H16" s="63">
        <f t="shared" si="0"/>
        <v>39716</v>
      </c>
      <c r="I16" s="13">
        <v>39716</v>
      </c>
      <c r="J16" s="14" t="s">
        <v>258</v>
      </c>
      <c r="K16" s="15"/>
      <c r="L16" s="15"/>
      <c r="M16" s="15"/>
      <c r="N16" s="15"/>
      <c r="O16" s="15"/>
      <c r="P16" s="15"/>
      <c r="Q16" s="15"/>
      <c r="R16" s="16">
        <v>38986</v>
      </c>
      <c r="S16" s="17">
        <f t="shared" ca="1" si="1"/>
        <v>-3204</v>
      </c>
      <c r="T16" s="18" t="s">
        <v>96</v>
      </c>
    </row>
    <row r="17" spans="1:20" ht="15.95" customHeight="1" x14ac:dyDescent="0.2">
      <c r="A17" s="9" t="s">
        <v>259</v>
      </c>
      <c r="B17" s="10" t="s">
        <v>23</v>
      </c>
      <c r="C17" s="10" t="s">
        <v>24</v>
      </c>
      <c r="D17" s="11" t="s">
        <v>260</v>
      </c>
      <c r="E17" s="11" t="s">
        <v>261</v>
      </c>
      <c r="F17" s="10" t="s">
        <v>262</v>
      </c>
      <c r="G17" s="12" t="s">
        <v>263</v>
      </c>
      <c r="H17" s="63">
        <f t="shared" si="0"/>
        <v>39721</v>
      </c>
      <c r="I17" s="13">
        <v>39721</v>
      </c>
      <c r="J17" s="14" t="s">
        <v>264</v>
      </c>
      <c r="K17" s="15"/>
      <c r="L17" s="15"/>
      <c r="M17" s="15"/>
      <c r="N17" s="15"/>
      <c r="O17" s="15"/>
      <c r="P17" s="15"/>
      <c r="Q17" s="15"/>
      <c r="R17" s="16">
        <v>39356</v>
      </c>
      <c r="S17" s="17">
        <f t="shared" ca="1" si="1"/>
        <v>-2834</v>
      </c>
      <c r="T17" s="18" t="s">
        <v>34</v>
      </c>
    </row>
    <row r="18" spans="1:20" ht="15.95" customHeight="1" x14ac:dyDescent="0.2">
      <c r="A18" s="9" t="s">
        <v>112</v>
      </c>
      <c r="B18" s="10" t="s">
        <v>23</v>
      </c>
      <c r="C18" s="10" t="s">
        <v>56</v>
      </c>
      <c r="D18" s="11" t="s">
        <v>44</v>
      </c>
      <c r="E18" s="11" t="s">
        <v>113</v>
      </c>
      <c r="F18" s="10" t="s">
        <v>253</v>
      </c>
      <c r="G18" s="12">
        <f>1330*12</f>
        <v>15960</v>
      </c>
      <c r="H18" s="63">
        <f t="shared" si="0"/>
        <v>39725</v>
      </c>
      <c r="I18" s="13">
        <v>39725</v>
      </c>
      <c r="J18" s="14" t="s">
        <v>265</v>
      </c>
      <c r="K18" s="15"/>
      <c r="L18" s="15"/>
      <c r="M18" s="15"/>
      <c r="N18" s="15"/>
      <c r="O18" s="15"/>
      <c r="P18" s="15"/>
      <c r="Q18" s="15"/>
      <c r="R18" s="16">
        <v>39026</v>
      </c>
      <c r="S18" s="17">
        <f t="shared" ca="1" si="1"/>
        <v>-3164</v>
      </c>
      <c r="T18" s="18" t="s">
        <v>48</v>
      </c>
    </row>
    <row r="19" spans="1:20" ht="15.95" customHeight="1" x14ac:dyDescent="0.2">
      <c r="A19" s="9" t="s">
        <v>215</v>
      </c>
      <c r="B19" s="10" t="s">
        <v>23</v>
      </c>
      <c r="C19" s="10" t="s">
        <v>24</v>
      </c>
      <c r="D19" s="11" t="s">
        <v>216</v>
      </c>
      <c r="E19" s="11" t="s">
        <v>217</v>
      </c>
      <c r="F19" s="10"/>
      <c r="G19" s="12" t="s">
        <v>218</v>
      </c>
      <c r="H19" s="63">
        <f t="shared" si="0"/>
        <v>39725</v>
      </c>
      <c r="I19" s="13">
        <v>39725</v>
      </c>
      <c r="J19" s="14" t="s">
        <v>219</v>
      </c>
      <c r="K19" s="15"/>
      <c r="L19" s="15"/>
      <c r="M19" s="15"/>
      <c r="N19" s="15"/>
      <c r="O19" s="15"/>
      <c r="P19" s="15"/>
      <c r="Q19" s="15"/>
      <c r="R19" s="16">
        <v>36795</v>
      </c>
      <c r="S19" s="17">
        <f t="shared" ca="1" si="1"/>
        <v>-5396</v>
      </c>
      <c r="T19" s="18" t="s">
        <v>169</v>
      </c>
    </row>
    <row r="20" spans="1:20" ht="15.95" customHeight="1" x14ac:dyDescent="0.2">
      <c r="A20" s="9" t="s">
        <v>115</v>
      </c>
      <c r="B20" s="10" t="s">
        <v>23</v>
      </c>
      <c r="C20" s="10" t="s">
        <v>56</v>
      </c>
      <c r="D20" s="11" t="s">
        <v>116</v>
      </c>
      <c r="E20" s="11" t="s">
        <v>117</v>
      </c>
      <c r="F20" s="10" t="s">
        <v>266</v>
      </c>
      <c r="G20" s="12">
        <v>5521.6</v>
      </c>
      <c r="H20" s="63">
        <f t="shared" si="0"/>
        <v>39745</v>
      </c>
      <c r="I20" s="13">
        <v>39745</v>
      </c>
      <c r="J20" s="14" t="s">
        <v>267</v>
      </c>
      <c r="K20" s="15"/>
      <c r="L20" s="15"/>
      <c r="M20" s="15"/>
      <c r="N20" s="15"/>
      <c r="O20" s="15"/>
      <c r="P20" s="15"/>
      <c r="Q20" s="15"/>
      <c r="R20" s="16">
        <v>39015</v>
      </c>
      <c r="S20" s="17">
        <f t="shared" ca="1" si="1"/>
        <v>-3175</v>
      </c>
      <c r="T20" s="18" t="s">
        <v>96</v>
      </c>
    </row>
    <row r="21" spans="1:20" ht="15.95" customHeight="1" x14ac:dyDescent="0.2">
      <c r="A21" s="31" t="s">
        <v>119</v>
      </c>
      <c r="B21" s="33" t="s">
        <v>23</v>
      </c>
      <c r="C21" s="33" t="s">
        <v>61</v>
      </c>
      <c r="D21" s="34" t="s">
        <v>268</v>
      </c>
      <c r="E21" s="34" t="s">
        <v>121</v>
      </c>
      <c r="F21" s="33" t="s">
        <v>269</v>
      </c>
      <c r="G21" s="12" t="s">
        <v>270</v>
      </c>
      <c r="H21" s="69">
        <f t="shared" si="0"/>
        <v>39747</v>
      </c>
      <c r="I21" s="36">
        <v>39747</v>
      </c>
      <c r="J21" s="37" t="s">
        <v>271</v>
      </c>
      <c r="K21" s="38"/>
      <c r="L21" s="38"/>
      <c r="M21" s="38"/>
      <c r="N21" s="38"/>
      <c r="O21" s="38"/>
      <c r="P21" s="38"/>
      <c r="Q21" s="38"/>
      <c r="R21" s="39">
        <v>38652</v>
      </c>
      <c r="S21" s="17">
        <f t="shared" ca="1" si="1"/>
        <v>-3539</v>
      </c>
      <c r="T21" s="41" t="s">
        <v>96</v>
      </c>
    </row>
    <row r="22" spans="1:20" ht="15.95" customHeight="1" x14ac:dyDescent="0.2">
      <c r="A22" s="9" t="s">
        <v>128</v>
      </c>
      <c r="B22" s="20" t="s">
        <v>129</v>
      </c>
      <c r="C22" s="10" t="s">
        <v>130</v>
      </c>
      <c r="D22" s="11" t="s">
        <v>272</v>
      </c>
      <c r="E22" s="11" t="s">
        <v>132</v>
      </c>
      <c r="F22" s="10" t="s">
        <v>273</v>
      </c>
      <c r="G22" s="12" t="s">
        <v>133</v>
      </c>
      <c r="H22" s="63">
        <f t="shared" si="0"/>
        <v>39752</v>
      </c>
      <c r="I22" s="13">
        <v>39752</v>
      </c>
      <c r="J22" s="14" t="s">
        <v>274</v>
      </c>
      <c r="K22" s="15"/>
      <c r="L22" s="15"/>
      <c r="M22" s="15"/>
      <c r="N22" s="15"/>
      <c r="O22" s="15"/>
      <c r="P22" s="15"/>
      <c r="Q22" s="15"/>
      <c r="R22" s="16">
        <v>37560</v>
      </c>
      <c r="S22" s="17">
        <f t="shared" ca="1" si="1"/>
        <v>-4630</v>
      </c>
      <c r="T22" s="18" t="s">
        <v>275</v>
      </c>
    </row>
    <row r="23" spans="1:20" ht="15.95" customHeight="1" x14ac:dyDescent="0.2">
      <c r="A23" s="9" t="s">
        <v>124</v>
      </c>
      <c r="B23" s="10" t="s">
        <v>23</v>
      </c>
      <c r="C23" s="10" t="s">
        <v>56</v>
      </c>
      <c r="D23" s="11" t="s">
        <v>125</v>
      </c>
      <c r="E23" s="11" t="s">
        <v>126</v>
      </c>
      <c r="F23" s="10" t="s">
        <v>276</v>
      </c>
      <c r="G23" s="12">
        <v>10080</v>
      </c>
      <c r="H23" s="63">
        <f t="shared" si="0"/>
        <v>39752</v>
      </c>
      <c r="I23" s="13">
        <v>39752</v>
      </c>
      <c r="J23" s="14" t="s">
        <v>277</v>
      </c>
      <c r="K23" s="15"/>
      <c r="L23" s="15"/>
      <c r="M23" s="15"/>
      <c r="N23" s="15"/>
      <c r="O23" s="15"/>
      <c r="P23" s="15"/>
      <c r="Q23" s="15"/>
      <c r="R23" s="16">
        <v>39022</v>
      </c>
      <c r="S23" s="17">
        <f t="shared" ca="1" si="1"/>
        <v>-3168</v>
      </c>
      <c r="T23" s="18" t="s">
        <v>48</v>
      </c>
    </row>
    <row r="24" spans="1:20" ht="15.95" customHeight="1" x14ac:dyDescent="0.2">
      <c r="A24" s="9" t="s">
        <v>135</v>
      </c>
      <c r="B24" s="20" t="s">
        <v>129</v>
      </c>
      <c r="C24" s="10" t="s">
        <v>130</v>
      </c>
      <c r="D24" s="11" t="s">
        <v>278</v>
      </c>
      <c r="E24" s="11" t="s">
        <v>132</v>
      </c>
      <c r="F24" s="10" t="s">
        <v>279</v>
      </c>
      <c r="G24" s="12" t="s">
        <v>133</v>
      </c>
      <c r="H24" s="63">
        <f t="shared" si="0"/>
        <v>39764</v>
      </c>
      <c r="I24" s="13">
        <v>39764</v>
      </c>
      <c r="J24" s="14" t="s">
        <v>280</v>
      </c>
      <c r="K24" s="15"/>
      <c r="L24" s="15"/>
      <c r="M24" s="15"/>
      <c r="N24" s="15"/>
      <c r="O24" s="15"/>
      <c r="P24" s="15"/>
      <c r="Q24" s="15"/>
      <c r="R24" s="16">
        <v>37572</v>
      </c>
      <c r="S24" s="17">
        <f t="shared" ca="1" si="1"/>
        <v>-4618</v>
      </c>
      <c r="T24" s="18" t="s">
        <v>275</v>
      </c>
    </row>
    <row r="25" spans="1:20" ht="15.95" customHeight="1" x14ac:dyDescent="0.2">
      <c r="A25" s="9" t="s">
        <v>137</v>
      </c>
      <c r="B25" s="10" t="s">
        <v>23</v>
      </c>
      <c r="C25" s="10" t="s">
        <v>56</v>
      </c>
      <c r="D25" s="11" t="s">
        <v>138</v>
      </c>
      <c r="E25" s="11" t="s">
        <v>139</v>
      </c>
      <c r="F25" s="10" t="s">
        <v>281</v>
      </c>
      <c r="G25" s="12" t="s">
        <v>282</v>
      </c>
      <c r="H25" s="63">
        <f t="shared" si="0"/>
        <v>39767</v>
      </c>
      <c r="I25" s="13">
        <v>39767</v>
      </c>
      <c r="J25" s="14" t="s">
        <v>283</v>
      </c>
      <c r="K25" s="15"/>
      <c r="L25" s="15"/>
      <c r="M25" s="15"/>
      <c r="N25" s="15"/>
      <c r="O25" s="15"/>
      <c r="P25" s="15"/>
      <c r="Q25" s="15"/>
      <c r="R25" s="16">
        <v>39037</v>
      </c>
      <c r="S25" s="17">
        <f t="shared" ca="1" si="1"/>
        <v>-3153</v>
      </c>
      <c r="T25" s="18" t="s">
        <v>48</v>
      </c>
    </row>
    <row r="26" spans="1:20" ht="15.95" customHeight="1" x14ac:dyDescent="0.2">
      <c r="A26" s="9" t="s">
        <v>142</v>
      </c>
      <c r="B26" s="10" t="s">
        <v>23</v>
      </c>
      <c r="C26" s="10" t="s">
        <v>61</v>
      </c>
      <c r="D26" s="11" t="s">
        <v>143</v>
      </c>
      <c r="E26" s="11" t="s">
        <v>144</v>
      </c>
      <c r="F26" s="10" t="s">
        <v>284</v>
      </c>
      <c r="G26" s="12">
        <v>3519.96</v>
      </c>
      <c r="H26" s="63">
        <f t="shared" si="0"/>
        <v>39783</v>
      </c>
      <c r="I26" s="13">
        <v>39783</v>
      </c>
      <c r="J26" s="14" t="s">
        <v>285</v>
      </c>
      <c r="K26" s="15"/>
      <c r="L26" s="15"/>
      <c r="M26" s="15"/>
      <c r="N26" s="15"/>
      <c r="O26" s="15"/>
      <c r="P26" s="15"/>
      <c r="Q26" s="15"/>
      <c r="R26" s="16">
        <v>37956</v>
      </c>
      <c r="S26" s="17">
        <f t="shared" ca="1" si="1"/>
        <v>-4234</v>
      </c>
      <c r="T26" s="18" t="s">
        <v>41</v>
      </c>
    </row>
    <row r="27" spans="1:20" ht="15.95" customHeight="1" x14ac:dyDescent="0.2">
      <c r="A27" s="9" t="s">
        <v>286</v>
      </c>
      <c r="B27" s="20" t="s">
        <v>251</v>
      </c>
      <c r="C27" s="10" t="s">
        <v>37</v>
      </c>
      <c r="D27" s="11" t="s">
        <v>287</v>
      </c>
      <c r="E27" s="11" t="s">
        <v>288</v>
      </c>
      <c r="F27" s="10" t="s">
        <v>246</v>
      </c>
      <c r="G27" s="12" t="s">
        <v>289</v>
      </c>
      <c r="H27" s="63">
        <f t="shared" si="0"/>
        <v>39787</v>
      </c>
      <c r="I27" s="13">
        <v>39787</v>
      </c>
      <c r="J27" s="14" t="s">
        <v>290</v>
      </c>
      <c r="K27" s="15"/>
      <c r="L27" s="15"/>
      <c r="M27" s="15"/>
      <c r="N27" s="15"/>
      <c r="O27" s="15"/>
      <c r="P27" s="15"/>
      <c r="Q27" s="15"/>
      <c r="R27" s="16">
        <v>39300</v>
      </c>
      <c r="S27" s="17">
        <f t="shared" ca="1" si="1"/>
        <v>-2890</v>
      </c>
      <c r="T27" s="18" t="s">
        <v>201</v>
      </c>
    </row>
    <row r="28" spans="1:20" ht="15.95" customHeight="1" x14ac:dyDescent="0.2">
      <c r="A28" s="9" t="s">
        <v>65</v>
      </c>
      <c r="B28" s="20" t="s">
        <v>66</v>
      </c>
      <c r="C28" s="10" t="s">
        <v>67</v>
      </c>
      <c r="D28" s="11" t="s">
        <v>68</v>
      </c>
      <c r="E28" s="11" t="s">
        <v>69</v>
      </c>
      <c r="F28" s="10" t="s">
        <v>291</v>
      </c>
      <c r="G28" s="12" t="s">
        <v>292</v>
      </c>
      <c r="H28" s="63">
        <f t="shared" si="0"/>
        <v>39792</v>
      </c>
      <c r="I28" s="13">
        <v>39792</v>
      </c>
      <c r="J28" s="27" t="s">
        <v>293</v>
      </c>
      <c r="K28" s="15"/>
      <c r="L28" s="15"/>
      <c r="M28" s="15"/>
      <c r="N28" s="15"/>
      <c r="O28" s="15"/>
      <c r="P28" s="15"/>
      <c r="Q28" s="15"/>
      <c r="R28" s="16">
        <v>37782</v>
      </c>
      <c r="S28" s="17">
        <f t="shared" ca="1" si="1"/>
        <v>-4408</v>
      </c>
      <c r="T28" s="18" t="s">
        <v>48</v>
      </c>
    </row>
    <row r="29" spans="1:20" ht="15.95" customHeight="1" x14ac:dyDescent="0.2">
      <c r="A29" s="31" t="s">
        <v>294</v>
      </c>
      <c r="B29" s="33" t="s">
        <v>23</v>
      </c>
      <c r="C29" s="33" t="s">
        <v>56</v>
      </c>
      <c r="D29" s="34" t="s">
        <v>295</v>
      </c>
      <c r="E29" s="34" t="s">
        <v>296</v>
      </c>
      <c r="F29" s="33" t="s">
        <v>297</v>
      </c>
      <c r="G29" s="12">
        <v>6600</v>
      </c>
      <c r="H29" s="63">
        <f t="shared" si="0"/>
        <v>39800</v>
      </c>
      <c r="I29" s="36">
        <v>39800</v>
      </c>
      <c r="J29" s="37" t="s">
        <v>298</v>
      </c>
      <c r="K29" s="38"/>
      <c r="L29" s="38"/>
      <c r="M29" s="38"/>
      <c r="N29" s="38"/>
      <c r="O29" s="38"/>
      <c r="P29" s="38"/>
      <c r="Q29" s="38"/>
      <c r="R29" s="39">
        <v>39435</v>
      </c>
      <c r="S29" s="17">
        <f t="shared" ca="1" si="1"/>
        <v>-2755</v>
      </c>
      <c r="T29" s="41" t="s">
        <v>48</v>
      </c>
    </row>
    <row r="30" spans="1:20" ht="15.95" customHeight="1" x14ac:dyDescent="0.2">
      <c r="A30" s="9" t="s">
        <v>299</v>
      </c>
      <c r="B30" s="10" t="s">
        <v>23</v>
      </c>
      <c r="C30" s="10" t="s">
        <v>61</v>
      </c>
      <c r="D30" s="11" t="s">
        <v>212</v>
      </c>
      <c r="E30" s="11" t="s">
        <v>300</v>
      </c>
      <c r="F30" s="10" t="s">
        <v>301</v>
      </c>
      <c r="G30" s="12">
        <v>11880</v>
      </c>
      <c r="H30" s="63">
        <f t="shared" si="0"/>
        <v>39809</v>
      </c>
      <c r="I30" s="13">
        <v>39809</v>
      </c>
      <c r="J30" s="14" t="s">
        <v>302</v>
      </c>
      <c r="K30" s="15"/>
      <c r="L30" s="15"/>
      <c r="M30" s="15"/>
      <c r="N30" s="15"/>
      <c r="O30" s="15"/>
      <c r="P30" s="15"/>
      <c r="Q30" s="15"/>
      <c r="R30" s="16">
        <v>39444</v>
      </c>
      <c r="S30" s="17">
        <f t="shared" ca="1" si="1"/>
        <v>-2746</v>
      </c>
      <c r="T30" s="18" t="s">
        <v>48</v>
      </c>
    </row>
    <row r="31" spans="1:20" ht="15.95" customHeight="1" x14ac:dyDescent="0.2">
      <c r="A31" s="31" t="s">
        <v>164</v>
      </c>
      <c r="B31" s="32" t="s">
        <v>165</v>
      </c>
      <c r="C31" s="33" t="s">
        <v>37</v>
      </c>
      <c r="D31" s="34" t="s">
        <v>303</v>
      </c>
      <c r="E31" s="34" t="s">
        <v>167</v>
      </c>
      <c r="F31" s="33" t="s">
        <v>304</v>
      </c>
      <c r="G31" s="12">
        <v>36000</v>
      </c>
      <c r="H31" s="63">
        <f t="shared" si="0"/>
        <v>39810</v>
      </c>
      <c r="I31" s="36">
        <v>39810</v>
      </c>
      <c r="J31" s="37" t="s">
        <v>305</v>
      </c>
      <c r="K31" s="38"/>
      <c r="L31" s="38"/>
      <c r="M31" s="38"/>
      <c r="N31" s="38"/>
      <c r="O31" s="38"/>
      <c r="P31" s="38"/>
      <c r="Q31" s="38"/>
      <c r="R31" s="39">
        <v>39080</v>
      </c>
      <c r="S31" s="17">
        <f t="shared" ca="1" si="1"/>
        <v>-3110</v>
      </c>
      <c r="T31" s="41" t="s">
        <v>169</v>
      </c>
    </row>
    <row r="32" spans="1:20" ht="15.95" customHeight="1" x14ac:dyDescent="0.2">
      <c r="A32" s="31" t="s">
        <v>170</v>
      </c>
      <c r="B32" s="33" t="s">
        <v>23</v>
      </c>
      <c r="C32" s="33" t="s">
        <v>61</v>
      </c>
      <c r="D32" s="34" t="s">
        <v>171</v>
      </c>
      <c r="E32" s="34" t="s">
        <v>172</v>
      </c>
      <c r="F32" s="33" t="s">
        <v>306</v>
      </c>
      <c r="G32" s="12" t="s">
        <v>307</v>
      </c>
      <c r="H32" s="63">
        <f t="shared" si="0"/>
        <v>39812</v>
      </c>
      <c r="I32" s="36">
        <v>39812</v>
      </c>
      <c r="J32" s="37" t="s">
        <v>308</v>
      </c>
      <c r="K32" s="38"/>
      <c r="L32" s="38"/>
      <c r="M32" s="38"/>
      <c r="N32" s="38"/>
      <c r="O32" s="38"/>
      <c r="P32" s="38"/>
      <c r="Q32" s="38"/>
      <c r="R32" s="39">
        <v>37985</v>
      </c>
      <c r="S32" s="17">
        <f t="shared" ca="1" si="1"/>
        <v>-4205</v>
      </c>
      <c r="T32" s="41" t="s">
        <v>54</v>
      </c>
    </row>
    <row r="33" spans="1:20" ht="15.95" customHeight="1" x14ac:dyDescent="0.2">
      <c r="A33" s="31" t="s">
        <v>309</v>
      </c>
      <c r="B33" s="70" t="s">
        <v>23</v>
      </c>
      <c r="C33" s="33" t="s">
        <v>61</v>
      </c>
      <c r="D33" s="34" t="s">
        <v>176</v>
      </c>
      <c r="E33" s="34" t="s">
        <v>310</v>
      </c>
      <c r="F33" s="33" t="s">
        <v>311</v>
      </c>
      <c r="G33" s="12">
        <v>15900</v>
      </c>
      <c r="H33" s="63">
        <f t="shared" si="0"/>
        <v>39813</v>
      </c>
      <c r="I33" s="36">
        <v>39813</v>
      </c>
      <c r="J33" s="37" t="s">
        <v>312</v>
      </c>
      <c r="K33" s="38"/>
      <c r="L33" s="38"/>
      <c r="M33" s="38"/>
      <c r="N33" s="38"/>
      <c r="O33" s="38"/>
      <c r="P33" s="38"/>
      <c r="Q33" s="38"/>
      <c r="R33" s="39">
        <v>38749</v>
      </c>
      <c r="S33" s="17">
        <f t="shared" ca="1" si="1"/>
        <v>-3442</v>
      </c>
      <c r="T33" s="41" t="s">
        <v>179</v>
      </c>
    </row>
    <row r="34" spans="1:20" ht="15.95" customHeight="1" x14ac:dyDescent="0.2">
      <c r="A34" s="71" t="s">
        <v>220</v>
      </c>
      <c r="B34" s="33" t="s">
        <v>23</v>
      </c>
      <c r="C34" s="33" t="s">
        <v>61</v>
      </c>
      <c r="D34" s="34" t="s">
        <v>221</v>
      </c>
      <c r="E34" s="34" t="s">
        <v>222</v>
      </c>
      <c r="F34" s="33" t="s">
        <v>313</v>
      </c>
      <c r="G34" s="12">
        <f>6300*12</f>
        <v>75600</v>
      </c>
      <c r="H34" s="63">
        <f t="shared" si="0"/>
        <v>39825</v>
      </c>
      <c r="I34" s="36">
        <v>39825</v>
      </c>
      <c r="J34" s="37" t="s">
        <v>223</v>
      </c>
      <c r="K34" s="38"/>
      <c r="L34" s="38"/>
      <c r="M34" s="38"/>
      <c r="N34" s="38"/>
      <c r="O34" s="38"/>
      <c r="P34" s="38"/>
      <c r="Q34" s="38"/>
      <c r="R34" s="39">
        <v>36903</v>
      </c>
      <c r="S34" s="17" t="s">
        <v>314</v>
      </c>
      <c r="T34" s="41" t="s">
        <v>48</v>
      </c>
    </row>
    <row r="35" spans="1:20" ht="15.95" customHeight="1" x14ac:dyDescent="0.2">
      <c r="A35" s="31" t="s">
        <v>184</v>
      </c>
      <c r="B35" s="32" t="s">
        <v>185</v>
      </c>
      <c r="C35" s="33" t="s">
        <v>37</v>
      </c>
      <c r="D35" s="34" t="s">
        <v>186</v>
      </c>
      <c r="E35" s="34" t="s">
        <v>187</v>
      </c>
      <c r="F35" s="33" t="s">
        <v>315</v>
      </c>
      <c r="G35" s="12">
        <v>74096.160000000003</v>
      </c>
      <c r="H35" s="63">
        <f t="shared" si="0"/>
        <v>39828</v>
      </c>
      <c r="I35" s="36">
        <v>39828</v>
      </c>
      <c r="J35" s="37" t="s">
        <v>316</v>
      </c>
      <c r="K35" s="38"/>
      <c r="L35" s="38"/>
      <c r="M35" s="38"/>
      <c r="N35" s="38"/>
      <c r="O35" s="38"/>
      <c r="P35" s="38"/>
      <c r="Q35" s="38"/>
      <c r="R35" s="39">
        <v>38732</v>
      </c>
      <c r="S35" s="17">
        <f t="shared" ref="S35:S55" ca="1" si="2">DATE(YEAR(R35)+6,MONTH(R35),DAY(R35))-TODAY()</f>
        <v>-3459</v>
      </c>
      <c r="T35" s="41" t="s">
        <v>169</v>
      </c>
    </row>
    <row r="36" spans="1:20" ht="15.95" customHeight="1" x14ac:dyDescent="0.2">
      <c r="A36" s="31" t="s">
        <v>224</v>
      </c>
      <c r="B36" s="33" t="s">
        <v>225</v>
      </c>
      <c r="C36" s="33" t="s">
        <v>226</v>
      </c>
      <c r="D36" s="34" t="s">
        <v>227</v>
      </c>
      <c r="E36" s="34" t="s">
        <v>228</v>
      </c>
      <c r="F36" s="33" t="s">
        <v>317</v>
      </c>
      <c r="G36" s="12">
        <v>32400</v>
      </c>
      <c r="H36" s="63">
        <f t="shared" si="0"/>
        <v>39842</v>
      </c>
      <c r="I36" s="36">
        <v>39842</v>
      </c>
      <c r="J36" s="37" t="s">
        <v>229</v>
      </c>
      <c r="K36" s="38"/>
      <c r="L36" s="38"/>
      <c r="M36" s="38"/>
      <c r="N36" s="38"/>
      <c r="O36" s="38"/>
      <c r="P36" s="38"/>
      <c r="Q36" s="38"/>
      <c r="R36" s="39">
        <v>38747</v>
      </c>
      <c r="S36" s="17">
        <f t="shared" ca="1" si="2"/>
        <v>-3444</v>
      </c>
      <c r="T36" s="41" t="s">
        <v>41</v>
      </c>
    </row>
    <row r="37" spans="1:20" ht="15.95" customHeight="1" x14ac:dyDescent="0.2">
      <c r="A37" s="31" t="s">
        <v>318</v>
      </c>
      <c r="B37" s="33" t="s">
        <v>23</v>
      </c>
      <c r="C37" s="33" t="s">
        <v>56</v>
      </c>
      <c r="D37" s="34" t="s">
        <v>83</v>
      </c>
      <c r="E37" s="34" t="s">
        <v>319</v>
      </c>
      <c r="F37" s="33" t="s">
        <v>320</v>
      </c>
      <c r="G37" s="12" t="s">
        <v>321</v>
      </c>
      <c r="H37" s="63">
        <f t="shared" si="0"/>
        <v>39845</v>
      </c>
      <c r="I37" s="36">
        <v>39845</v>
      </c>
      <c r="J37" s="37" t="s">
        <v>322</v>
      </c>
      <c r="K37" s="38"/>
      <c r="L37" s="38"/>
      <c r="M37" s="38"/>
      <c r="N37" s="38"/>
      <c r="O37" s="38"/>
      <c r="P37" s="38"/>
      <c r="Q37" s="38"/>
      <c r="R37" s="39">
        <v>39480</v>
      </c>
      <c r="S37" s="17">
        <f t="shared" ca="1" si="2"/>
        <v>-2710</v>
      </c>
      <c r="T37" s="41" t="s">
        <v>48</v>
      </c>
    </row>
    <row r="38" spans="1:20" ht="15.95" customHeight="1" x14ac:dyDescent="0.2">
      <c r="A38" s="31" t="s">
        <v>189</v>
      </c>
      <c r="B38" s="33" t="s">
        <v>23</v>
      </c>
      <c r="C38" s="33" t="s">
        <v>61</v>
      </c>
      <c r="D38" s="34" t="s">
        <v>190</v>
      </c>
      <c r="E38" s="34" t="s">
        <v>191</v>
      </c>
      <c r="F38" s="33" t="s">
        <v>323</v>
      </c>
      <c r="G38" s="12">
        <v>2048.88</v>
      </c>
      <c r="H38" s="63">
        <f t="shared" si="0"/>
        <v>39846</v>
      </c>
      <c r="I38" s="36">
        <v>39846</v>
      </c>
      <c r="J38" s="37" t="s">
        <v>324</v>
      </c>
      <c r="K38" s="38"/>
      <c r="L38" s="38"/>
      <c r="M38" s="38"/>
      <c r="N38" s="38"/>
      <c r="O38" s="38"/>
      <c r="P38" s="38"/>
      <c r="Q38" s="38"/>
      <c r="R38" s="39">
        <v>38385</v>
      </c>
      <c r="S38" s="17">
        <f t="shared" ca="1" si="2"/>
        <v>-3806</v>
      </c>
      <c r="T38" s="41" t="s">
        <v>48</v>
      </c>
    </row>
    <row r="39" spans="1:20" ht="15.95" customHeight="1" x14ac:dyDescent="0.2">
      <c r="A39" s="31" t="s">
        <v>325</v>
      </c>
      <c r="B39" s="33" t="s">
        <v>23</v>
      </c>
      <c r="C39" s="33" t="s">
        <v>61</v>
      </c>
      <c r="D39" s="34" t="s">
        <v>180</v>
      </c>
      <c r="E39" s="34" t="s">
        <v>326</v>
      </c>
      <c r="F39" s="33" t="s">
        <v>327</v>
      </c>
      <c r="G39" s="12" t="s">
        <v>328</v>
      </c>
      <c r="H39" s="63">
        <f t="shared" si="0"/>
        <v>39849</v>
      </c>
      <c r="I39" s="36">
        <v>39849</v>
      </c>
      <c r="J39" s="37" t="s">
        <v>329</v>
      </c>
      <c r="K39" s="38"/>
      <c r="L39" s="38"/>
      <c r="M39" s="38"/>
      <c r="N39" s="38"/>
      <c r="O39" s="38"/>
      <c r="P39" s="38"/>
      <c r="Q39" s="38"/>
      <c r="R39" s="39">
        <v>39484</v>
      </c>
      <c r="S39" s="17">
        <f t="shared" ca="1" si="2"/>
        <v>-2706</v>
      </c>
      <c r="T39" s="41" t="s">
        <v>48</v>
      </c>
    </row>
    <row r="40" spans="1:20" ht="15.95" customHeight="1" x14ac:dyDescent="0.2">
      <c r="A40" s="31" t="s">
        <v>193</v>
      </c>
      <c r="B40" s="33" t="s">
        <v>23</v>
      </c>
      <c r="C40" s="33" t="s">
        <v>56</v>
      </c>
      <c r="D40" s="34" t="s">
        <v>194</v>
      </c>
      <c r="E40" s="34" t="s">
        <v>195</v>
      </c>
      <c r="F40" s="33" t="s">
        <v>330</v>
      </c>
      <c r="G40" s="12">
        <v>15600</v>
      </c>
      <c r="H40" s="63">
        <f t="shared" si="0"/>
        <v>39856</v>
      </c>
      <c r="I40" s="36">
        <v>39856</v>
      </c>
      <c r="J40" s="37" t="s">
        <v>331</v>
      </c>
      <c r="K40" s="38"/>
      <c r="L40" s="38"/>
      <c r="M40" s="38"/>
      <c r="N40" s="38"/>
      <c r="O40" s="38"/>
      <c r="P40" s="38"/>
      <c r="Q40" s="38"/>
      <c r="R40" s="39">
        <v>39125</v>
      </c>
      <c r="S40" s="17">
        <f t="shared" ca="1" si="2"/>
        <v>-3065</v>
      </c>
      <c r="T40" s="41" t="s">
        <v>48</v>
      </c>
    </row>
    <row r="41" spans="1:20" ht="15.95" customHeight="1" x14ac:dyDescent="0.2">
      <c r="A41" s="9" t="s">
        <v>332</v>
      </c>
      <c r="B41" s="10" t="s">
        <v>23</v>
      </c>
      <c r="C41" s="10" t="s">
        <v>61</v>
      </c>
      <c r="D41" s="11" t="s">
        <v>333</v>
      </c>
      <c r="E41" s="11" t="s">
        <v>334</v>
      </c>
      <c r="F41" s="10" t="s">
        <v>335</v>
      </c>
      <c r="G41" s="12">
        <v>10930</v>
      </c>
      <c r="H41" s="63">
        <f t="shared" si="0"/>
        <v>39865</v>
      </c>
      <c r="I41" s="13">
        <v>39865</v>
      </c>
      <c r="J41" s="14" t="s">
        <v>336</v>
      </c>
      <c r="K41" s="15"/>
      <c r="L41" s="15"/>
      <c r="M41" s="15"/>
      <c r="N41" s="15"/>
      <c r="O41" s="15"/>
      <c r="P41" s="15"/>
      <c r="Q41" s="15"/>
      <c r="R41" s="16">
        <v>39500</v>
      </c>
      <c r="S41" s="17">
        <f t="shared" ca="1" si="2"/>
        <v>-2690</v>
      </c>
      <c r="T41" s="18" t="s">
        <v>41</v>
      </c>
    </row>
    <row r="42" spans="1:20" ht="15.95" customHeight="1" x14ac:dyDescent="0.2">
      <c r="A42" s="31" t="s">
        <v>197</v>
      </c>
      <c r="B42" s="33" t="s">
        <v>23</v>
      </c>
      <c r="C42" s="33" t="s">
        <v>56</v>
      </c>
      <c r="D42" s="34" t="s">
        <v>198</v>
      </c>
      <c r="E42" s="34" t="s">
        <v>337</v>
      </c>
      <c r="F42" s="33" t="s">
        <v>338</v>
      </c>
      <c r="G42" s="12">
        <v>2601.12</v>
      </c>
      <c r="H42" s="69">
        <f t="shared" si="0"/>
        <v>39872</v>
      </c>
      <c r="I42" s="36">
        <v>39872</v>
      </c>
      <c r="J42" s="37" t="s">
        <v>339</v>
      </c>
      <c r="K42" s="38"/>
      <c r="L42" s="38"/>
      <c r="M42" s="38"/>
      <c r="N42" s="38"/>
      <c r="O42" s="38"/>
      <c r="P42" s="38"/>
      <c r="Q42" s="38"/>
      <c r="R42" s="39">
        <v>38412</v>
      </c>
      <c r="S42" s="17">
        <f t="shared" ca="1" si="2"/>
        <v>-3779</v>
      </c>
      <c r="T42" s="41" t="s">
        <v>201</v>
      </c>
    </row>
    <row r="43" spans="1:20" ht="15.95" customHeight="1" x14ac:dyDescent="0.2">
      <c r="A43" s="31" t="s">
        <v>202</v>
      </c>
      <c r="B43" s="33" t="s">
        <v>23</v>
      </c>
      <c r="C43" s="33" t="s">
        <v>56</v>
      </c>
      <c r="D43" s="34" t="s">
        <v>340</v>
      </c>
      <c r="E43" s="34" t="s">
        <v>204</v>
      </c>
      <c r="F43" s="33" t="s">
        <v>341</v>
      </c>
      <c r="G43" s="12">
        <v>15867.84</v>
      </c>
      <c r="H43" s="69">
        <f t="shared" si="0"/>
        <v>39881</v>
      </c>
      <c r="I43" s="36">
        <v>39881</v>
      </c>
      <c r="J43" s="37" t="s">
        <v>342</v>
      </c>
      <c r="K43" s="38"/>
      <c r="L43" s="38"/>
      <c r="M43" s="38"/>
      <c r="N43" s="38"/>
      <c r="O43" s="38"/>
      <c r="P43" s="38"/>
      <c r="Q43" s="38"/>
      <c r="R43" s="39">
        <v>37711</v>
      </c>
      <c r="S43" s="17">
        <f t="shared" ca="1" si="2"/>
        <v>-4479</v>
      </c>
      <c r="T43" s="41" t="s">
        <v>96</v>
      </c>
    </row>
    <row r="44" spans="1:20" ht="15.95" customHeight="1" x14ac:dyDescent="0.2">
      <c r="A44" s="29" t="s">
        <v>206</v>
      </c>
      <c r="B44" s="10" t="s">
        <v>23</v>
      </c>
      <c r="C44" s="10" t="s">
        <v>56</v>
      </c>
      <c r="D44" s="11" t="s">
        <v>207</v>
      </c>
      <c r="E44" s="11" t="s">
        <v>208</v>
      </c>
      <c r="F44" s="10" t="s">
        <v>343</v>
      </c>
      <c r="G44" s="12" t="s">
        <v>209</v>
      </c>
      <c r="H44" s="63">
        <f t="shared" si="0"/>
        <v>39888</v>
      </c>
      <c r="I44" s="13">
        <v>39888</v>
      </c>
      <c r="J44" s="14" t="s">
        <v>344</v>
      </c>
      <c r="K44" s="15"/>
      <c r="L44" s="15"/>
      <c r="M44" s="15"/>
      <c r="N44" s="15"/>
      <c r="O44" s="15"/>
      <c r="P44" s="15"/>
      <c r="Q44" s="15"/>
      <c r="R44" s="16">
        <v>38062</v>
      </c>
      <c r="S44" s="17">
        <f t="shared" ca="1" si="2"/>
        <v>-4129</v>
      </c>
      <c r="T44" s="18" t="s">
        <v>48</v>
      </c>
    </row>
    <row r="45" spans="1:20" ht="15.95" customHeight="1" x14ac:dyDescent="0.2">
      <c r="A45" s="9" t="s">
        <v>35</v>
      </c>
      <c r="B45" s="19" t="s">
        <v>36</v>
      </c>
      <c r="C45" s="10" t="s">
        <v>37</v>
      </c>
      <c r="D45" s="11" t="s">
        <v>38</v>
      </c>
      <c r="E45" s="11" t="s">
        <v>39</v>
      </c>
      <c r="F45" s="10" t="s">
        <v>345</v>
      </c>
      <c r="G45" s="12">
        <v>91290</v>
      </c>
      <c r="H45" s="63">
        <f t="shared" si="0"/>
        <v>39909</v>
      </c>
      <c r="I45" s="13">
        <v>39909</v>
      </c>
      <c r="J45" s="14" t="s">
        <v>346</v>
      </c>
      <c r="K45" s="15"/>
      <c r="L45" s="15"/>
      <c r="M45" s="15"/>
      <c r="N45" s="15"/>
      <c r="O45" s="15"/>
      <c r="P45" s="15"/>
      <c r="Q45" s="15"/>
      <c r="R45" s="16">
        <v>38084</v>
      </c>
      <c r="S45" s="17">
        <f t="shared" ca="1" si="2"/>
        <v>-4107</v>
      </c>
      <c r="T45" s="18" t="s">
        <v>41</v>
      </c>
    </row>
    <row r="46" spans="1:20" ht="15.6" customHeight="1" x14ac:dyDescent="0.2">
      <c r="A46" s="31" t="s">
        <v>49</v>
      </c>
      <c r="B46" s="33" t="s">
        <v>23</v>
      </c>
      <c r="C46" s="33" t="s">
        <v>24</v>
      </c>
      <c r="D46" s="34" t="s">
        <v>50</v>
      </c>
      <c r="E46" s="34" t="s">
        <v>51</v>
      </c>
      <c r="F46" s="33" t="s">
        <v>347</v>
      </c>
      <c r="G46" s="12" t="s">
        <v>348</v>
      </c>
      <c r="H46" s="69">
        <f t="shared" si="0"/>
        <v>39925</v>
      </c>
      <c r="I46" s="36">
        <v>39925</v>
      </c>
      <c r="J46" s="37" t="s">
        <v>349</v>
      </c>
      <c r="K46" s="38"/>
      <c r="L46" s="38"/>
      <c r="M46" s="38"/>
      <c r="N46" s="38"/>
      <c r="O46" s="38"/>
      <c r="P46" s="38"/>
      <c r="Q46" s="38"/>
      <c r="R46" s="39">
        <v>37733</v>
      </c>
      <c r="S46" s="17">
        <f t="shared" ca="1" si="2"/>
        <v>-4457</v>
      </c>
      <c r="T46" s="41" t="s">
        <v>54</v>
      </c>
    </row>
    <row r="47" spans="1:20" ht="15.95" customHeight="1" x14ac:dyDescent="0.2">
      <c r="A47" s="9" t="s">
        <v>55</v>
      </c>
      <c r="B47" s="22" t="s">
        <v>23</v>
      </c>
      <c r="C47" s="22" t="s">
        <v>56</v>
      </c>
      <c r="D47" s="15" t="s">
        <v>57</v>
      </c>
      <c r="E47" s="15" t="s">
        <v>58</v>
      </c>
      <c r="F47" s="22" t="s">
        <v>350</v>
      </c>
      <c r="G47" s="23" t="s">
        <v>351</v>
      </c>
      <c r="H47" s="63">
        <f t="shared" si="0"/>
        <v>39927</v>
      </c>
      <c r="I47" s="24">
        <v>39927</v>
      </c>
      <c r="J47" s="25" t="s">
        <v>352</v>
      </c>
      <c r="K47" s="15"/>
      <c r="L47" s="15"/>
      <c r="M47" s="15"/>
      <c r="N47" s="15"/>
      <c r="O47" s="15"/>
      <c r="P47" s="15"/>
      <c r="Q47" s="15"/>
      <c r="R47" s="16">
        <v>38832</v>
      </c>
      <c r="S47" s="17">
        <f t="shared" ca="1" si="2"/>
        <v>-3358</v>
      </c>
      <c r="T47" s="26" t="s">
        <v>48</v>
      </c>
    </row>
    <row r="48" spans="1:20" ht="15.95" customHeight="1" x14ac:dyDescent="0.2">
      <c r="A48" s="31" t="s">
        <v>353</v>
      </c>
      <c r="B48" s="33" t="s">
        <v>23</v>
      </c>
      <c r="C48" s="33" t="s">
        <v>61</v>
      </c>
      <c r="D48" s="34" t="s">
        <v>25</v>
      </c>
      <c r="E48" s="34" t="s">
        <v>26</v>
      </c>
      <c r="F48" s="33" t="s">
        <v>262</v>
      </c>
      <c r="G48" s="12" t="s">
        <v>354</v>
      </c>
      <c r="H48" s="69">
        <f t="shared" si="0"/>
        <v>39940</v>
      </c>
      <c r="I48" s="36">
        <v>39940</v>
      </c>
      <c r="J48" s="37" t="s">
        <v>355</v>
      </c>
      <c r="K48" s="38"/>
      <c r="L48" s="38"/>
      <c r="M48" s="38"/>
      <c r="N48" s="38"/>
      <c r="O48" s="38"/>
      <c r="P48" s="38"/>
      <c r="Q48" s="38"/>
      <c r="R48" s="39">
        <v>39576</v>
      </c>
      <c r="S48" s="17">
        <f t="shared" ca="1" si="2"/>
        <v>-2615</v>
      </c>
      <c r="T48" s="41" t="s">
        <v>29</v>
      </c>
    </row>
    <row r="49" spans="1:25" ht="15.95" customHeight="1" x14ac:dyDescent="0.2">
      <c r="A49" s="31" t="s">
        <v>356</v>
      </c>
      <c r="B49" s="33" t="s">
        <v>23</v>
      </c>
      <c r="C49" s="33" t="s">
        <v>61</v>
      </c>
      <c r="D49" s="34" t="s">
        <v>62</v>
      </c>
      <c r="E49" s="34" t="s">
        <v>357</v>
      </c>
      <c r="F49" s="33" t="s">
        <v>358</v>
      </c>
      <c r="G49" s="12">
        <v>8004.24</v>
      </c>
      <c r="H49" s="69">
        <f t="shared" si="0"/>
        <v>39983</v>
      </c>
      <c r="I49" s="36">
        <v>39983</v>
      </c>
      <c r="J49" s="37" t="s">
        <v>359</v>
      </c>
      <c r="K49" s="38"/>
      <c r="L49" s="38"/>
      <c r="M49" s="38"/>
      <c r="N49" s="38"/>
      <c r="O49" s="38"/>
      <c r="P49" s="38"/>
      <c r="Q49" s="38"/>
      <c r="R49" s="39">
        <v>39619</v>
      </c>
      <c r="S49" s="17">
        <f t="shared" ca="1" si="2"/>
        <v>-2572</v>
      </c>
      <c r="T49" s="41" t="s">
        <v>48</v>
      </c>
    </row>
    <row r="50" spans="1:25" ht="15.95" customHeight="1" x14ac:dyDescent="0.2">
      <c r="A50" s="31" t="s">
        <v>360</v>
      </c>
      <c r="B50" s="33" t="s">
        <v>23</v>
      </c>
      <c r="C50" s="33" t="s">
        <v>61</v>
      </c>
      <c r="D50" s="34" t="s">
        <v>212</v>
      </c>
      <c r="E50" s="34" t="s">
        <v>361</v>
      </c>
      <c r="F50" s="33"/>
      <c r="G50" s="12">
        <v>5940</v>
      </c>
      <c r="H50" s="69">
        <f t="shared" si="0"/>
        <v>39983</v>
      </c>
      <c r="I50" s="36">
        <v>39983</v>
      </c>
      <c r="J50" s="37" t="s">
        <v>362</v>
      </c>
      <c r="K50" s="38"/>
      <c r="L50" s="38"/>
      <c r="M50" s="38"/>
      <c r="N50" s="38"/>
      <c r="O50" s="38"/>
      <c r="P50" s="38"/>
      <c r="Q50" s="38"/>
      <c r="R50" s="39">
        <v>39617</v>
      </c>
      <c r="S50" s="17">
        <f t="shared" ca="1" si="2"/>
        <v>-2574</v>
      </c>
      <c r="T50" s="41" t="s">
        <v>48</v>
      </c>
    </row>
    <row r="51" spans="1:25" ht="15.95" customHeight="1" x14ac:dyDescent="0.2">
      <c r="A51" s="31" t="s">
        <v>363</v>
      </c>
      <c r="B51" s="32" t="s">
        <v>364</v>
      </c>
      <c r="C51" s="33" t="s">
        <v>37</v>
      </c>
      <c r="D51" s="34" t="s">
        <v>365</v>
      </c>
      <c r="E51" s="34" t="s">
        <v>366</v>
      </c>
      <c r="F51" s="33" t="s">
        <v>367</v>
      </c>
      <c r="G51" s="12">
        <v>23172</v>
      </c>
      <c r="H51" s="69">
        <f t="shared" si="0"/>
        <v>40018</v>
      </c>
      <c r="I51" s="36">
        <v>40018</v>
      </c>
      <c r="J51" s="37" t="s">
        <v>368</v>
      </c>
      <c r="K51" s="38"/>
      <c r="L51" s="38"/>
      <c r="M51" s="38"/>
      <c r="N51" s="38"/>
      <c r="O51" s="38"/>
      <c r="P51" s="38"/>
      <c r="Q51" s="38"/>
      <c r="R51" s="39">
        <v>39288</v>
      </c>
      <c r="S51" s="17">
        <f t="shared" ca="1" si="2"/>
        <v>-2902</v>
      </c>
      <c r="T51" s="41" t="s">
        <v>96</v>
      </c>
    </row>
    <row r="52" spans="1:25" ht="15.95" customHeight="1" x14ac:dyDescent="0.2">
      <c r="A52" s="31" t="s">
        <v>87</v>
      </c>
      <c r="B52" s="33" t="s">
        <v>23</v>
      </c>
      <c r="C52" s="33" t="s">
        <v>56</v>
      </c>
      <c r="D52" s="34" t="s">
        <v>88</v>
      </c>
      <c r="E52" s="34" t="s">
        <v>89</v>
      </c>
      <c r="F52" s="33" t="s">
        <v>369</v>
      </c>
      <c r="G52" s="12">
        <v>14400</v>
      </c>
      <c r="H52" s="69">
        <f t="shared" si="0"/>
        <v>40025</v>
      </c>
      <c r="I52" s="36">
        <v>40025</v>
      </c>
      <c r="J52" s="37" t="s">
        <v>370</v>
      </c>
      <c r="K52" s="38"/>
      <c r="L52" s="38"/>
      <c r="M52" s="38"/>
      <c r="N52" s="38"/>
      <c r="O52" s="38"/>
      <c r="P52" s="38"/>
      <c r="Q52" s="38"/>
      <c r="R52" s="39">
        <v>38989</v>
      </c>
      <c r="S52" s="17">
        <f t="shared" ca="1" si="2"/>
        <v>-3201</v>
      </c>
      <c r="T52" s="41" t="s">
        <v>48</v>
      </c>
    </row>
    <row r="53" spans="1:25" ht="15.95" customHeight="1" x14ac:dyDescent="0.2">
      <c r="A53" s="31" t="s">
        <v>371</v>
      </c>
      <c r="B53" s="33" t="s">
        <v>23</v>
      </c>
      <c r="C53" s="33" t="s">
        <v>372</v>
      </c>
      <c r="D53" s="34" t="s">
        <v>373</v>
      </c>
      <c r="E53" s="34" t="s">
        <v>374</v>
      </c>
      <c r="F53" s="33"/>
      <c r="G53" s="12" t="s">
        <v>375</v>
      </c>
      <c r="H53" s="69">
        <f t="shared" si="0"/>
        <v>40038</v>
      </c>
      <c r="I53" s="36">
        <v>40038</v>
      </c>
      <c r="J53" s="37" t="s">
        <v>376</v>
      </c>
      <c r="K53" s="38"/>
      <c r="L53" s="38"/>
      <c r="M53" s="38"/>
      <c r="N53" s="38"/>
      <c r="O53" s="38"/>
      <c r="P53" s="38"/>
      <c r="Q53" s="38"/>
      <c r="R53" s="39">
        <v>39674</v>
      </c>
      <c r="S53" s="17">
        <f t="shared" ca="1" si="2"/>
        <v>-2517</v>
      </c>
      <c r="T53" s="41" t="s">
        <v>96</v>
      </c>
    </row>
    <row r="54" spans="1:25" ht="15.95" customHeight="1" x14ac:dyDescent="0.2">
      <c r="A54" s="31" t="s">
        <v>377</v>
      </c>
      <c r="B54" s="33" t="s">
        <v>378</v>
      </c>
      <c r="C54" s="33" t="s">
        <v>226</v>
      </c>
      <c r="D54" s="34" t="s">
        <v>379</v>
      </c>
      <c r="E54" s="34" t="s">
        <v>380</v>
      </c>
      <c r="F54" s="33"/>
      <c r="G54" s="12" t="s">
        <v>381</v>
      </c>
      <c r="H54" s="69">
        <f t="shared" si="0"/>
        <v>40774</v>
      </c>
      <c r="I54" s="36">
        <v>40774</v>
      </c>
      <c r="J54" s="37" t="s">
        <v>382</v>
      </c>
      <c r="K54" s="38"/>
      <c r="L54" s="38"/>
      <c r="M54" s="38"/>
      <c r="N54" s="38"/>
      <c r="O54" s="38"/>
      <c r="P54" s="38"/>
      <c r="Q54" s="38"/>
      <c r="R54" s="39">
        <v>39680</v>
      </c>
      <c r="S54" s="17">
        <f t="shared" ca="1" si="2"/>
        <v>-2511</v>
      </c>
      <c r="T54" s="41" t="s">
        <v>41</v>
      </c>
    </row>
    <row r="55" spans="1:25" ht="15.95" customHeight="1" x14ac:dyDescent="0.2">
      <c r="A55" s="31" t="s">
        <v>383</v>
      </c>
      <c r="B55" s="33" t="s">
        <v>23</v>
      </c>
      <c r="C55" s="33" t="s">
        <v>372</v>
      </c>
      <c r="D55" s="34" t="s">
        <v>384</v>
      </c>
      <c r="E55" s="34" t="s">
        <v>385</v>
      </c>
      <c r="F55" s="33" t="s">
        <v>386</v>
      </c>
      <c r="G55" s="12" t="s">
        <v>375</v>
      </c>
      <c r="H55" s="69">
        <f t="shared" si="0"/>
        <v>41035</v>
      </c>
      <c r="I55" s="36">
        <v>41035</v>
      </c>
      <c r="J55" s="37" t="s">
        <v>387</v>
      </c>
      <c r="K55" s="38"/>
      <c r="L55" s="38"/>
      <c r="M55" s="38"/>
      <c r="N55" s="38"/>
      <c r="O55" s="38"/>
      <c r="P55" s="38"/>
      <c r="Q55" s="38"/>
      <c r="R55" s="39">
        <v>39209</v>
      </c>
      <c r="S55" s="17">
        <f t="shared" ca="1" si="2"/>
        <v>-2981</v>
      </c>
      <c r="T55" s="41" t="s">
        <v>96</v>
      </c>
    </row>
    <row r="56" spans="1:25" ht="15.95" customHeight="1" x14ac:dyDescent="0.2">
      <c r="A56" s="42" t="s">
        <v>230</v>
      </c>
      <c r="B56" s="43" t="s">
        <v>23</v>
      </c>
      <c r="C56" s="43" t="s">
        <v>61</v>
      </c>
      <c r="D56" s="44" t="s">
        <v>231</v>
      </c>
      <c r="E56" s="44" t="s">
        <v>232</v>
      </c>
      <c r="F56" s="43"/>
      <c r="G56" s="45">
        <v>21785.16</v>
      </c>
      <c r="H56" s="72" t="s">
        <v>23</v>
      </c>
      <c r="I56" s="73" t="s">
        <v>233</v>
      </c>
      <c r="J56" s="47" t="s">
        <v>234</v>
      </c>
      <c r="K56" s="48"/>
      <c r="L56" s="48"/>
      <c r="M56" s="48"/>
      <c r="N56" s="48"/>
      <c r="O56" s="48"/>
      <c r="P56" s="48"/>
      <c r="Q56" s="48"/>
      <c r="R56" s="49">
        <v>37043</v>
      </c>
      <c r="S56" s="50" t="s">
        <v>314</v>
      </c>
      <c r="T56" s="51" t="s">
        <v>54</v>
      </c>
    </row>
    <row r="57" spans="1:25" ht="11.85" customHeight="1" x14ac:dyDescent="0.2">
      <c r="A57" s="52"/>
      <c r="B57" s="52"/>
      <c r="C57" s="52"/>
      <c r="E57" s="52"/>
      <c r="I57" s="74"/>
    </row>
    <row r="58" spans="1:25" ht="12.6" customHeight="1" x14ac:dyDescent="0.2">
      <c r="A58" s="52"/>
      <c r="B58" s="52"/>
      <c r="C58" s="52"/>
      <c r="D58" s="53" t="s">
        <v>235</v>
      </c>
      <c r="E58" s="54" t="s">
        <v>239</v>
      </c>
      <c r="H58" s="75"/>
      <c r="I58" s="74"/>
      <c r="R58" s="927"/>
      <c r="S58" s="927"/>
      <c r="T58" s="927"/>
      <c r="U58" s="927"/>
      <c r="V58" s="927"/>
      <c r="W58" s="927"/>
      <c r="X58" s="927"/>
      <c r="Y58" s="927"/>
    </row>
    <row r="59" spans="1:25" ht="11.85" customHeight="1" x14ac:dyDescent="0.2">
      <c r="A59" s="52"/>
      <c r="B59" s="52"/>
      <c r="C59" s="52"/>
      <c r="D59" s="53" t="s">
        <v>236</v>
      </c>
      <c r="E59" s="54" t="s">
        <v>388</v>
      </c>
      <c r="I59" s="74"/>
    </row>
    <row r="60" spans="1:25" ht="11.85" customHeight="1" x14ac:dyDescent="0.2">
      <c r="A60" s="52"/>
      <c r="B60" s="52"/>
      <c r="C60" s="52"/>
      <c r="D60" s="53" t="s">
        <v>237</v>
      </c>
      <c r="E60" s="54" t="s">
        <v>389</v>
      </c>
      <c r="I60" s="74"/>
    </row>
    <row r="61" spans="1:25" ht="11.85" customHeight="1" x14ac:dyDescent="0.2">
      <c r="D61" s="53" t="s">
        <v>238</v>
      </c>
      <c r="E61" s="54" t="s">
        <v>390</v>
      </c>
    </row>
    <row r="62" spans="1:25" ht="11.85" customHeight="1" x14ac:dyDescent="0.2"/>
  </sheetData>
  <mergeCells count="17">
    <mergeCell ref="R58:Y58"/>
    <mergeCell ref="I9:I10"/>
    <mergeCell ref="J9:J10"/>
    <mergeCell ref="K9:K10"/>
    <mergeCell ref="L9:P9"/>
    <mergeCell ref="Q9:Q10"/>
    <mergeCell ref="T9:T10"/>
    <mergeCell ref="J6:K6"/>
    <mergeCell ref="A8:T8"/>
    <mergeCell ref="A9:A10"/>
    <mergeCell ref="B9:B10"/>
    <mergeCell ref="C9:C10"/>
    <mergeCell ref="D9:D10"/>
    <mergeCell ref="E9:E10"/>
    <mergeCell ref="F9:F10"/>
    <mergeCell ref="G9:G10"/>
    <mergeCell ref="H9:H10"/>
  </mergeCells>
  <phoneticPr fontId="2" type="noConversion"/>
  <pageMargins left="0.19652777777777777" right="0.19652777777777777" top="0.39374999999999999" bottom="0" header="0.51180555555555551" footer="0.51180555555555551"/>
  <pageSetup paperSize="9" scale="60" firstPageNumber="0" orientation="landscape" horizontalDpi="300" verticalDpi="300" r:id="rId1"/>
  <headerFooter alignWithMargins="0"/>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J175"/>
  <sheetViews>
    <sheetView view="pageBreakPreview" topLeftCell="K1" zoomScale="84" zoomScaleNormal="100" zoomScaleSheetLayoutView="84" workbookViewId="0">
      <selection activeCell="N6" sqref="N6"/>
    </sheetView>
  </sheetViews>
  <sheetFormatPr defaultRowHeight="12.75" x14ac:dyDescent="0.2"/>
  <cols>
    <col min="1" max="1" width="17.5703125" bestFit="1" customWidth="1"/>
    <col min="2" max="2" width="11.7109375" customWidth="1"/>
    <col min="3" max="3" width="16.85546875" bestFit="1" customWidth="1"/>
    <col min="4" max="4" width="29.140625" customWidth="1"/>
    <col min="5" max="5" width="42.140625" customWidth="1"/>
    <col min="6" max="6" width="18.5703125" bestFit="1" customWidth="1"/>
    <col min="7" max="7" width="14.140625" bestFit="1" customWidth="1"/>
    <col min="8" max="8" width="14.42578125" bestFit="1" customWidth="1"/>
    <col min="9" max="18" width="14.140625" bestFit="1" customWidth="1"/>
    <col min="19" max="19" width="18.7109375" style="655" bestFit="1" customWidth="1"/>
    <col min="20" max="20" width="17.5703125" bestFit="1" customWidth="1"/>
    <col min="21" max="21" width="13.85546875" customWidth="1"/>
    <col min="22" max="22" width="37.140625" customWidth="1"/>
    <col min="23" max="23" width="19.5703125" bestFit="1" customWidth="1"/>
    <col min="24" max="25" width="3.28515625" customWidth="1"/>
    <col min="26" max="26" width="2.85546875" customWidth="1"/>
    <col min="27" max="27" width="4.28515625" customWidth="1"/>
    <col min="28" max="28" width="3.140625" customWidth="1"/>
    <col min="29" max="29" width="14.7109375" customWidth="1"/>
    <col min="30" max="30" width="12.85546875" customWidth="1"/>
    <col min="31" max="31" width="15" bestFit="1" customWidth="1"/>
    <col min="32" max="32" width="9.28515625" customWidth="1"/>
  </cols>
  <sheetData>
    <row r="2" spans="1:36" ht="29.25" customHeight="1" thickBot="1" x14ac:dyDescent="0.25">
      <c r="C2" s="566"/>
      <c r="D2" s="658"/>
      <c r="E2" t="s">
        <v>1498</v>
      </c>
      <c r="T2" s="564"/>
      <c r="U2" s="564"/>
      <c r="V2" s="564"/>
      <c r="AE2" s="489" t="s">
        <v>0</v>
      </c>
    </row>
    <row r="3" spans="1:36" ht="21" thickBot="1" x14ac:dyDescent="0.35">
      <c r="C3" s="677"/>
      <c r="D3" s="678" t="s">
        <v>1390</v>
      </c>
      <c r="E3" t="s">
        <v>1499</v>
      </c>
      <c r="T3" s="608"/>
      <c r="U3" s="608"/>
      <c r="V3" s="1011" t="s">
        <v>1588</v>
      </c>
      <c r="W3" s="1011"/>
      <c r="AE3" s="490">
        <f ca="1">TODAY()</f>
        <v>44382</v>
      </c>
    </row>
    <row r="4" spans="1:36" ht="14.25" customHeight="1" x14ac:dyDescent="0.2">
      <c r="A4" s="1012" t="s">
        <v>2</v>
      </c>
      <c r="B4" s="1006" t="s">
        <v>3</v>
      </c>
      <c r="C4" s="1006" t="s">
        <v>4</v>
      </c>
      <c r="D4" s="1006" t="s">
        <v>5</v>
      </c>
      <c r="E4" s="1006" t="s">
        <v>6</v>
      </c>
      <c r="F4" s="1006" t="s">
        <v>7</v>
      </c>
      <c r="G4" s="1014" t="s">
        <v>2089</v>
      </c>
      <c r="H4" s="1014"/>
      <c r="I4" s="1014"/>
      <c r="J4" s="1014"/>
      <c r="K4" s="1014"/>
      <c r="L4" s="1014"/>
      <c r="M4" s="1014"/>
      <c r="N4" s="1014"/>
      <c r="O4" s="1014"/>
      <c r="P4" s="1014"/>
      <c r="Q4" s="1014"/>
      <c r="R4" s="1014"/>
      <c r="S4" s="1014"/>
      <c r="T4" s="1006" t="s">
        <v>241</v>
      </c>
      <c r="U4" s="1008" t="s">
        <v>8</v>
      </c>
      <c r="V4" s="1006" t="s">
        <v>9</v>
      </c>
      <c r="W4" s="1006" t="s">
        <v>10</v>
      </c>
      <c r="X4" s="1010" t="s">
        <v>11</v>
      </c>
      <c r="Y4" s="1010"/>
      <c r="Z4" s="1010"/>
      <c r="AA4" s="1010"/>
      <c r="AB4" s="1010"/>
      <c r="AC4" s="1008" t="s">
        <v>1421</v>
      </c>
      <c r="AD4" s="1002" t="s">
        <v>243</v>
      </c>
      <c r="AE4" s="620" t="s">
        <v>820</v>
      </c>
      <c r="AF4" s="1004" t="s">
        <v>15</v>
      </c>
    </row>
    <row r="5" spans="1:36" ht="39.75" customHeight="1" thickBot="1" x14ac:dyDescent="0.25">
      <c r="A5" s="1013"/>
      <c r="B5" s="1007"/>
      <c r="C5" s="1007"/>
      <c r="D5" s="1007"/>
      <c r="E5" s="1007"/>
      <c r="F5" s="1007"/>
      <c r="G5" s="621" t="s">
        <v>822</v>
      </c>
      <c r="H5" s="621" t="s">
        <v>823</v>
      </c>
      <c r="I5" s="621" t="s">
        <v>824</v>
      </c>
      <c r="J5" s="621" t="s">
        <v>825</v>
      </c>
      <c r="K5" s="621" t="s">
        <v>826</v>
      </c>
      <c r="L5" s="621" t="s">
        <v>827</v>
      </c>
      <c r="M5" s="621" t="s">
        <v>828</v>
      </c>
      <c r="N5" s="621" t="s">
        <v>829</v>
      </c>
      <c r="O5" s="621" t="s">
        <v>830</v>
      </c>
      <c r="P5" s="621" t="s">
        <v>831</v>
      </c>
      <c r="Q5" s="621" t="s">
        <v>832</v>
      </c>
      <c r="R5" s="621" t="s">
        <v>833</v>
      </c>
      <c r="S5" s="621" t="s">
        <v>1767</v>
      </c>
      <c r="T5" s="1007"/>
      <c r="U5" s="1009"/>
      <c r="V5" s="1007"/>
      <c r="W5" s="1007"/>
      <c r="X5" s="622" t="s">
        <v>16</v>
      </c>
      <c r="Y5" s="622" t="s">
        <v>17</v>
      </c>
      <c r="Z5" s="622" t="s">
        <v>18</v>
      </c>
      <c r="AA5" s="622" t="s">
        <v>19</v>
      </c>
      <c r="AB5" s="622" t="s">
        <v>20</v>
      </c>
      <c r="AC5" s="1009"/>
      <c r="AD5" s="1003"/>
      <c r="AE5" s="623" t="s">
        <v>244</v>
      </c>
      <c r="AF5" s="1005"/>
    </row>
    <row r="6" spans="1:36" s="671" customFormat="1" ht="25.5" x14ac:dyDescent="0.2">
      <c r="A6" s="686" t="s">
        <v>2075</v>
      </c>
      <c r="B6" s="687"/>
      <c r="C6" s="687"/>
      <c r="D6" s="688" t="s">
        <v>1291</v>
      </c>
      <c r="E6" s="688" t="s">
        <v>1292</v>
      </c>
      <c r="F6" s="689">
        <v>156441.54999999999</v>
      </c>
      <c r="G6" s="673">
        <v>12245.01</v>
      </c>
      <c r="H6" s="673">
        <v>12245.01</v>
      </c>
      <c r="I6" s="673">
        <v>12245.01</v>
      </c>
      <c r="J6" s="673">
        <v>12245.01</v>
      </c>
      <c r="K6" s="673">
        <v>12245.01</v>
      </c>
      <c r="L6" s="673">
        <f>13020.3+ 3101.16</f>
        <v>16121.46</v>
      </c>
      <c r="M6" s="673">
        <v>13020.3</v>
      </c>
      <c r="N6" s="673">
        <v>13020.3</v>
      </c>
      <c r="O6" s="673">
        <v>13020.3</v>
      </c>
      <c r="P6" s="673">
        <v>13020.3</v>
      </c>
      <c r="Q6" s="673">
        <v>13020.3</v>
      </c>
      <c r="R6" s="673">
        <v>13020.3</v>
      </c>
      <c r="S6" s="690">
        <f>SUM(G6:R6)</f>
        <v>155468.31</v>
      </c>
      <c r="T6" s="691">
        <f t="shared" ref="T6:T13" ca="1" si="0">U6-$AE$3</f>
        <v>-1039</v>
      </c>
      <c r="U6" s="692">
        <v>43343</v>
      </c>
      <c r="V6" s="693" t="s">
        <v>2076</v>
      </c>
      <c r="W6" s="694" t="s">
        <v>1301</v>
      </c>
      <c r="X6" s="695"/>
      <c r="Y6" s="695"/>
      <c r="Z6" s="695"/>
      <c r="AA6" s="695"/>
      <c r="AB6" s="695"/>
      <c r="AC6" s="696"/>
      <c r="AD6" s="697">
        <v>41519</v>
      </c>
      <c r="AE6" s="698">
        <f t="shared" ref="AE6:AE12" ca="1" si="1">TODAY()-DATE(YEAR(AD6)+6,MONTH(AD6),DAY(AD6))</f>
        <v>672</v>
      </c>
      <c r="AF6" s="687" t="s">
        <v>48</v>
      </c>
    </row>
    <row r="7" spans="1:36" s="311" customFormat="1" ht="25.5" x14ac:dyDescent="0.2">
      <c r="A7" s="675" t="s">
        <v>711</v>
      </c>
      <c r="B7" s="339" t="s">
        <v>23</v>
      </c>
      <c r="C7" s="339" t="s">
        <v>61</v>
      </c>
      <c r="D7" s="340" t="s">
        <v>1580</v>
      </c>
      <c r="E7" s="340" t="s">
        <v>712</v>
      </c>
      <c r="F7" s="365" t="s">
        <v>713</v>
      </c>
      <c r="G7" s="673">
        <v>0</v>
      </c>
      <c r="H7" s="673">
        <v>0</v>
      </c>
      <c r="I7" s="673">
        <v>0</v>
      </c>
      <c r="J7" s="673">
        <v>0</v>
      </c>
      <c r="K7" s="673">
        <v>0</v>
      </c>
      <c r="L7" s="673">
        <v>0</v>
      </c>
      <c r="M7" s="673">
        <v>0</v>
      </c>
      <c r="N7" s="673">
        <v>2859.5</v>
      </c>
      <c r="O7" s="673">
        <v>0</v>
      </c>
      <c r="P7" s="673">
        <v>0</v>
      </c>
      <c r="Q7" s="673">
        <v>0</v>
      </c>
      <c r="R7" s="673">
        <v>0</v>
      </c>
      <c r="S7" s="656">
        <f t="shared" ref="S7:S55" si="2">SUM(G7:R7)</f>
        <v>2859.5</v>
      </c>
      <c r="T7" s="610">
        <f t="shared" ca="1" si="0"/>
        <v>-1717</v>
      </c>
      <c r="U7" s="611">
        <v>42665</v>
      </c>
      <c r="V7" s="615" t="s">
        <v>1785</v>
      </c>
      <c r="W7" s="612" t="s">
        <v>749</v>
      </c>
      <c r="X7" s="613"/>
      <c r="Y7" s="613"/>
      <c r="Z7" s="613"/>
      <c r="AA7" s="613"/>
      <c r="AB7" s="613"/>
      <c r="AC7" s="616">
        <v>42545</v>
      </c>
      <c r="AD7" s="346">
        <v>40473</v>
      </c>
      <c r="AE7" s="614">
        <f t="shared" ca="1" si="1"/>
        <v>1717</v>
      </c>
      <c r="AF7" s="339" t="s">
        <v>48</v>
      </c>
    </row>
    <row r="8" spans="1:36" s="311" customFormat="1" ht="25.5" x14ac:dyDescent="0.2">
      <c r="A8" s="675" t="s">
        <v>955</v>
      </c>
      <c r="B8" s="339" t="s">
        <v>773</v>
      </c>
      <c r="C8" s="339" t="s">
        <v>772</v>
      </c>
      <c r="D8" s="340" t="s">
        <v>1267</v>
      </c>
      <c r="E8" s="340" t="s">
        <v>1494</v>
      </c>
      <c r="F8" s="365">
        <v>209450.53</v>
      </c>
      <c r="G8" s="673">
        <v>6591.19</v>
      </c>
      <c r="H8" s="673">
        <v>7226</v>
      </c>
      <c r="I8" s="673">
        <v>7347.74</v>
      </c>
      <c r="J8" s="673">
        <v>8178.24</v>
      </c>
      <c r="K8" s="673">
        <v>7178.13</v>
      </c>
      <c r="L8" s="673">
        <v>7709.13</v>
      </c>
      <c r="M8" s="673">
        <v>7380.66</v>
      </c>
      <c r="N8" s="673">
        <v>7074.98</v>
      </c>
      <c r="O8" s="673">
        <v>0</v>
      </c>
      <c r="P8" s="673">
        <v>13295.68</v>
      </c>
      <c r="Q8" s="673">
        <v>7292.91</v>
      </c>
      <c r="R8" s="673">
        <v>6817.81</v>
      </c>
      <c r="S8" s="656">
        <f t="shared" si="2"/>
        <v>86092.47</v>
      </c>
      <c r="T8" s="610">
        <f t="shared" ca="1" si="0"/>
        <v>-1239</v>
      </c>
      <c r="U8" s="611">
        <v>43143</v>
      </c>
      <c r="V8" s="345" t="s">
        <v>1998</v>
      </c>
      <c r="W8" s="612" t="s">
        <v>1087</v>
      </c>
      <c r="X8" s="613"/>
      <c r="Y8" s="613"/>
      <c r="Z8" s="613"/>
      <c r="AA8" s="613"/>
      <c r="AB8" s="613"/>
      <c r="AC8" s="616">
        <v>43045</v>
      </c>
      <c r="AD8" s="346">
        <v>40952</v>
      </c>
      <c r="AE8" s="614">
        <f t="shared" ca="1" si="1"/>
        <v>1238</v>
      </c>
      <c r="AF8" s="339" t="s">
        <v>48</v>
      </c>
    </row>
    <row r="9" spans="1:36" s="311" customFormat="1" ht="51" x14ac:dyDescent="0.2">
      <c r="A9" s="641" t="s">
        <v>960</v>
      </c>
      <c r="B9" s="339" t="s">
        <v>1330</v>
      </c>
      <c r="C9" s="339" t="s">
        <v>24</v>
      </c>
      <c r="D9" s="643" t="s">
        <v>961</v>
      </c>
      <c r="E9" s="643" t="s">
        <v>962</v>
      </c>
      <c r="F9" s="365">
        <v>179731.20000000001</v>
      </c>
      <c r="G9" s="673">
        <v>10004.799999999999</v>
      </c>
      <c r="H9" s="673">
        <f>1332+15969.2</f>
        <v>17301.2</v>
      </c>
      <c r="I9" s="673">
        <v>11928.8</v>
      </c>
      <c r="J9" s="673">
        <v>14918.4</v>
      </c>
      <c r="K9" s="673">
        <v>14060</v>
      </c>
      <c r="L9" s="673">
        <v>14755.6</v>
      </c>
      <c r="M9" s="673">
        <v>15865.6</v>
      </c>
      <c r="N9" s="673">
        <v>12728</v>
      </c>
      <c r="O9" s="673">
        <v>13719.6</v>
      </c>
      <c r="P9" s="673">
        <v>13394</v>
      </c>
      <c r="Q9" s="673">
        <v>13867.6</v>
      </c>
      <c r="R9" s="673">
        <v>15081.2</v>
      </c>
      <c r="S9" s="656">
        <f t="shared" si="2"/>
        <v>167624.80000000005</v>
      </c>
      <c r="T9" s="610">
        <f t="shared" ca="1" si="0"/>
        <v>-1228</v>
      </c>
      <c r="U9" s="611">
        <v>43154</v>
      </c>
      <c r="V9" s="644" t="s">
        <v>1991</v>
      </c>
      <c r="W9" s="645" t="s">
        <v>2086</v>
      </c>
      <c r="X9" s="613"/>
      <c r="Y9" s="613"/>
      <c r="Z9" s="613"/>
      <c r="AA9" s="613"/>
      <c r="AB9" s="613"/>
      <c r="AC9" s="642">
        <v>43048</v>
      </c>
      <c r="AD9" s="346">
        <v>40963</v>
      </c>
      <c r="AE9" s="614">
        <f t="shared" ca="1" si="1"/>
        <v>1227</v>
      </c>
      <c r="AF9" s="339" t="s">
        <v>96</v>
      </c>
    </row>
    <row r="10" spans="1:36" s="311" customFormat="1" ht="51" x14ac:dyDescent="0.2">
      <c r="A10" s="675" t="s">
        <v>817</v>
      </c>
      <c r="B10" s="339" t="s">
        <v>1347</v>
      </c>
      <c r="C10" s="339" t="s">
        <v>56</v>
      </c>
      <c r="D10" s="340" t="s">
        <v>198</v>
      </c>
      <c r="E10" s="340" t="s">
        <v>1210</v>
      </c>
      <c r="F10" s="365">
        <v>2543.2399999999998</v>
      </c>
      <c r="G10" s="673">
        <v>295.27</v>
      </c>
      <c r="H10" s="673">
        <v>295.27</v>
      </c>
      <c r="I10" s="673" t="s">
        <v>2001</v>
      </c>
      <c r="J10" s="673">
        <v>0</v>
      </c>
      <c r="K10" s="673">
        <v>0</v>
      </c>
      <c r="L10" s="673">
        <v>0</v>
      </c>
      <c r="M10" s="673">
        <v>0</v>
      </c>
      <c r="N10" s="673">
        <v>0</v>
      </c>
      <c r="O10" s="673">
        <v>0</v>
      </c>
      <c r="P10" s="673">
        <v>0</v>
      </c>
      <c r="Q10" s="673">
        <v>0</v>
      </c>
      <c r="R10" s="673">
        <v>0</v>
      </c>
      <c r="S10" s="656">
        <f t="shared" si="2"/>
        <v>590.54</v>
      </c>
      <c r="T10" s="610">
        <f t="shared" ca="1" si="0"/>
        <v>-1588</v>
      </c>
      <c r="U10" s="611">
        <v>42794</v>
      </c>
      <c r="V10" s="345" t="s">
        <v>1967</v>
      </c>
      <c r="W10" s="612" t="s">
        <v>735</v>
      </c>
      <c r="X10" s="613"/>
      <c r="Y10" s="613"/>
      <c r="Z10" s="613"/>
      <c r="AA10" s="613"/>
      <c r="AB10" s="613"/>
      <c r="AC10" s="616">
        <v>42755</v>
      </c>
      <c r="AD10" s="346">
        <v>40603</v>
      </c>
      <c r="AE10" s="614">
        <f t="shared" ca="1" si="1"/>
        <v>1587</v>
      </c>
      <c r="AF10" s="339" t="s">
        <v>1348</v>
      </c>
    </row>
    <row r="11" spans="1:36" s="671" customFormat="1" ht="38.25" x14ac:dyDescent="0.2">
      <c r="A11" s="639" t="s">
        <v>23</v>
      </c>
      <c r="B11" s="660" t="s">
        <v>23</v>
      </c>
      <c r="C11" s="639" t="s">
        <v>24</v>
      </c>
      <c r="D11" s="661" t="s">
        <v>303</v>
      </c>
      <c r="E11" s="661" t="s">
        <v>971</v>
      </c>
      <c r="F11" s="662" t="s">
        <v>972</v>
      </c>
      <c r="G11" s="673">
        <v>0</v>
      </c>
      <c r="H11" s="673">
        <v>0</v>
      </c>
      <c r="I11" s="673">
        <v>0</v>
      </c>
      <c r="J11" s="673">
        <v>0</v>
      </c>
      <c r="K11" s="673">
        <v>0</v>
      </c>
      <c r="L11" s="673">
        <v>0</v>
      </c>
      <c r="M11" s="673">
        <v>0</v>
      </c>
      <c r="N11" s="673">
        <v>0</v>
      </c>
      <c r="O11" s="673">
        <v>0</v>
      </c>
      <c r="P11" s="673">
        <v>0</v>
      </c>
      <c r="Q11" s="673">
        <v>0</v>
      </c>
      <c r="R11" s="673">
        <v>0</v>
      </c>
      <c r="S11" s="663">
        <f t="shared" si="2"/>
        <v>0</v>
      </c>
      <c r="T11" s="679"/>
      <c r="U11" s="664" t="s">
        <v>233</v>
      </c>
      <c r="V11" s="665" t="s">
        <v>970</v>
      </c>
      <c r="W11" s="666" t="s">
        <v>727</v>
      </c>
      <c r="X11" s="667"/>
      <c r="Y11" s="667"/>
      <c r="Z11" s="667"/>
      <c r="AA11" s="667"/>
      <c r="AB11" s="667"/>
      <c r="AC11" s="668"/>
      <c r="AD11" s="669">
        <v>41954</v>
      </c>
      <c r="AE11" s="670">
        <f t="shared" ca="1" si="1"/>
        <v>236</v>
      </c>
      <c r="AF11" s="639" t="s">
        <v>1788</v>
      </c>
      <c r="AG11" s="311"/>
      <c r="AH11" s="311"/>
      <c r="AI11" s="311"/>
      <c r="AJ11" s="311"/>
    </row>
    <row r="12" spans="1:36" s="311" customFormat="1" ht="38.25" x14ac:dyDescent="0.2">
      <c r="A12" s="675" t="s">
        <v>855</v>
      </c>
      <c r="B12" s="339" t="s">
        <v>667</v>
      </c>
      <c r="C12" s="339" t="s">
        <v>772</v>
      </c>
      <c r="D12" s="340" t="s">
        <v>1579</v>
      </c>
      <c r="E12" s="340" t="s">
        <v>1886</v>
      </c>
      <c r="F12" s="365" t="s">
        <v>1887</v>
      </c>
      <c r="G12" s="673">
        <v>257.35000000000002</v>
      </c>
      <c r="H12" s="673">
        <f>121.83+634.6+679.28</f>
        <v>1435.71</v>
      </c>
      <c r="I12" s="673">
        <v>0</v>
      </c>
      <c r="J12" s="673">
        <v>0</v>
      </c>
      <c r="K12" s="673">
        <v>78.03</v>
      </c>
      <c r="L12" s="673">
        <v>0</v>
      </c>
      <c r="M12" s="673">
        <v>0</v>
      </c>
      <c r="N12" s="673">
        <f>624.75+662.91+76.79</f>
        <v>1364.4499999999998</v>
      </c>
      <c r="O12" s="673">
        <v>220.57</v>
      </c>
      <c r="P12" s="673">
        <v>0</v>
      </c>
      <c r="Q12" s="673">
        <v>0</v>
      </c>
      <c r="R12" s="673">
        <v>0</v>
      </c>
      <c r="S12" s="656">
        <f t="shared" si="2"/>
        <v>3356.11</v>
      </c>
      <c r="T12" s="610">
        <f t="shared" ca="1" si="0"/>
        <v>-1490</v>
      </c>
      <c r="U12" s="611">
        <v>42892</v>
      </c>
      <c r="V12" s="345" t="s">
        <v>1890</v>
      </c>
      <c r="W12" s="612" t="s">
        <v>861</v>
      </c>
      <c r="X12" s="613"/>
      <c r="Y12" s="613"/>
      <c r="Z12" s="613"/>
      <c r="AA12" s="613"/>
      <c r="AB12" s="613"/>
      <c r="AC12" s="616">
        <v>42943</v>
      </c>
      <c r="AD12" s="346">
        <v>40701</v>
      </c>
      <c r="AE12" s="614">
        <f t="shared" ca="1" si="1"/>
        <v>1489</v>
      </c>
      <c r="AF12" s="339" t="s">
        <v>48</v>
      </c>
    </row>
    <row r="13" spans="1:36" s="311" customFormat="1" ht="51" customHeight="1" x14ac:dyDescent="0.2">
      <c r="A13" s="674" t="s">
        <v>1994</v>
      </c>
      <c r="B13" s="339" t="s">
        <v>23</v>
      </c>
      <c r="C13" s="339" t="s">
        <v>372</v>
      </c>
      <c r="D13" s="643" t="s">
        <v>1090</v>
      </c>
      <c r="E13" s="643" t="s">
        <v>1091</v>
      </c>
      <c r="F13" s="365">
        <v>0</v>
      </c>
      <c r="G13" s="673">
        <v>0</v>
      </c>
      <c r="H13" s="673">
        <v>0</v>
      </c>
      <c r="I13" s="673">
        <v>0</v>
      </c>
      <c r="J13" s="673">
        <v>0</v>
      </c>
      <c r="K13" s="673">
        <v>0</v>
      </c>
      <c r="L13" s="673">
        <v>0</v>
      </c>
      <c r="M13" s="673">
        <v>0</v>
      </c>
      <c r="N13" s="673">
        <v>0</v>
      </c>
      <c r="O13" s="673">
        <v>0</v>
      </c>
      <c r="P13" s="673">
        <v>0</v>
      </c>
      <c r="Q13" s="673">
        <v>0</v>
      </c>
      <c r="R13" s="673">
        <v>0</v>
      </c>
      <c r="S13" s="656">
        <f t="shared" si="2"/>
        <v>0</v>
      </c>
      <c r="T13" s="610">
        <f t="shared" ca="1" si="0"/>
        <v>-1521</v>
      </c>
      <c r="U13" s="611">
        <v>42861</v>
      </c>
      <c r="V13" s="345" t="s">
        <v>1993</v>
      </c>
      <c r="W13" s="612" t="s">
        <v>1093</v>
      </c>
      <c r="X13" s="613"/>
      <c r="Y13" s="613"/>
      <c r="Z13" s="613"/>
      <c r="AA13" s="613"/>
      <c r="AB13" s="613"/>
      <c r="AC13" s="194" t="s">
        <v>1995</v>
      </c>
      <c r="AD13" s="346">
        <v>41036</v>
      </c>
      <c r="AE13" s="614">
        <f ca="1">TODAY()-DATE(YEAR(AD13)+5,MONTH(AD13),DAY(AD13))</f>
        <v>1520</v>
      </c>
      <c r="AF13" s="339" t="s">
        <v>96</v>
      </c>
    </row>
    <row r="14" spans="1:36" s="311" customFormat="1" ht="30" customHeight="1" x14ac:dyDescent="0.2">
      <c r="A14" s="674" t="s">
        <v>1065</v>
      </c>
      <c r="B14" s="339" t="s">
        <v>23</v>
      </c>
      <c r="C14" s="339" t="s">
        <v>56</v>
      </c>
      <c r="D14" s="643" t="s">
        <v>1066</v>
      </c>
      <c r="E14" s="643" t="s">
        <v>1067</v>
      </c>
      <c r="F14" s="365" t="s">
        <v>1074</v>
      </c>
      <c r="G14" s="673">
        <v>0</v>
      </c>
      <c r="H14" s="673">
        <v>0</v>
      </c>
      <c r="I14" s="673">
        <v>0</v>
      </c>
      <c r="J14" s="673">
        <v>0</v>
      </c>
      <c r="K14" s="673">
        <v>0</v>
      </c>
      <c r="L14" s="673">
        <v>0</v>
      </c>
      <c r="M14" s="673">
        <v>0</v>
      </c>
      <c r="N14" s="673">
        <v>0</v>
      </c>
      <c r="O14" s="673">
        <v>0</v>
      </c>
      <c r="P14" s="673">
        <v>0</v>
      </c>
      <c r="Q14" s="673">
        <v>0</v>
      </c>
      <c r="R14" s="673">
        <v>0</v>
      </c>
      <c r="S14" s="656">
        <f t="shared" si="2"/>
        <v>0</v>
      </c>
      <c r="T14" s="680"/>
      <c r="U14" s="611" t="s">
        <v>233</v>
      </c>
      <c r="V14" s="615" t="s">
        <v>1068</v>
      </c>
      <c r="W14" s="612" t="s">
        <v>1088</v>
      </c>
      <c r="X14" s="613"/>
      <c r="Y14" s="613"/>
      <c r="Z14" s="613"/>
      <c r="AA14" s="613"/>
      <c r="AB14" s="613"/>
      <c r="AC14" s="616"/>
      <c r="AD14" s="346">
        <v>40998</v>
      </c>
      <c r="AE14" s="614">
        <f t="shared" ref="AE14:AE26" ca="1" si="3">TODAY()-DATE(YEAR(AD14)+5,MONTH(AD14),DAY(AD14))</f>
        <v>1558</v>
      </c>
      <c r="AF14" s="339" t="s">
        <v>41</v>
      </c>
    </row>
    <row r="15" spans="1:36" s="311" customFormat="1" ht="38.25" x14ac:dyDescent="0.2">
      <c r="A15" s="641" t="s">
        <v>23</v>
      </c>
      <c r="B15" s="646" t="s">
        <v>23</v>
      </c>
      <c r="C15" s="339" t="s">
        <v>372</v>
      </c>
      <c r="D15" s="340" t="s">
        <v>1022</v>
      </c>
      <c r="E15" s="643" t="s">
        <v>968</v>
      </c>
      <c r="F15" s="365" t="s">
        <v>972</v>
      </c>
      <c r="G15" s="673">
        <v>0</v>
      </c>
      <c r="H15" s="673">
        <v>0</v>
      </c>
      <c r="I15" s="673">
        <v>0</v>
      </c>
      <c r="J15" s="673">
        <v>0</v>
      </c>
      <c r="K15" s="673">
        <v>0</v>
      </c>
      <c r="L15" s="673">
        <v>0</v>
      </c>
      <c r="M15" s="673">
        <v>0</v>
      </c>
      <c r="N15" s="673">
        <v>0</v>
      </c>
      <c r="O15" s="673">
        <v>0</v>
      </c>
      <c r="P15" s="673">
        <v>0</v>
      </c>
      <c r="Q15" s="673">
        <v>0</v>
      </c>
      <c r="R15" s="673">
        <v>0</v>
      </c>
      <c r="S15" s="656">
        <f t="shared" si="2"/>
        <v>0</v>
      </c>
      <c r="T15" s="680"/>
      <c r="U15" s="611" t="s">
        <v>233</v>
      </c>
      <c r="V15" s="615" t="s">
        <v>969</v>
      </c>
      <c r="W15" s="647" t="s">
        <v>1014</v>
      </c>
      <c r="X15" s="613"/>
      <c r="Y15" s="613"/>
      <c r="Z15" s="613"/>
      <c r="AA15" s="613"/>
      <c r="AB15" s="613"/>
      <c r="AC15" s="616"/>
      <c r="AD15" s="346">
        <v>36819</v>
      </c>
      <c r="AE15" s="614">
        <f t="shared" ca="1" si="3"/>
        <v>5737</v>
      </c>
      <c r="AF15" s="641" t="s">
        <v>54</v>
      </c>
    </row>
    <row r="16" spans="1:36" s="1" customFormat="1" ht="51" x14ac:dyDescent="0.2">
      <c r="A16" s="625" t="s">
        <v>790</v>
      </c>
      <c r="B16" s="638" t="s">
        <v>667</v>
      </c>
      <c r="C16" s="625" t="s">
        <v>130</v>
      </c>
      <c r="D16" s="626" t="s">
        <v>1113</v>
      </c>
      <c r="E16" s="626" t="s">
        <v>1532</v>
      </c>
      <c r="F16" s="636"/>
      <c r="G16" s="673">
        <v>0</v>
      </c>
      <c r="H16" s="673">
        <v>0</v>
      </c>
      <c r="I16" s="673">
        <v>0</v>
      </c>
      <c r="J16" s="673">
        <v>0</v>
      </c>
      <c r="K16" s="673">
        <v>0</v>
      </c>
      <c r="L16" s="673">
        <v>0</v>
      </c>
      <c r="M16" s="673">
        <v>0</v>
      </c>
      <c r="N16" s="673">
        <v>0</v>
      </c>
      <c r="O16" s="673">
        <v>0</v>
      </c>
      <c r="P16" s="673">
        <v>0</v>
      </c>
      <c r="Q16" s="673">
        <v>0</v>
      </c>
      <c r="R16" s="673">
        <v>0</v>
      </c>
      <c r="S16" s="627">
        <f t="shared" si="2"/>
        <v>0</v>
      </c>
      <c r="T16" s="628">
        <f t="shared" ref="T16:T33" ca="1" si="4">U16-$AE$3</f>
        <v>-2592</v>
      </c>
      <c r="U16" s="629">
        <v>41790</v>
      </c>
      <c r="V16" s="630" t="s">
        <v>1254</v>
      </c>
      <c r="W16" s="640" t="s">
        <v>1371</v>
      </c>
      <c r="X16" s="637"/>
      <c r="Y16" s="637"/>
      <c r="Z16" s="637"/>
      <c r="AA16" s="637"/>
      <c r="AB16" s="637"/>
      <c r="AC16" s="632">
        <v>41731</v>
      </c>
      <c r="AD16" s="633">
        <v>41061</v>
      </c>
      <c r="AE16" s="634">
        <f t="shared" ca="1" si="3"/>
        <v>1495</v>
      </c>
      <c r="AF16" s="625" t="s">
        <v>1295</v>
      </c>
    </row>
    <row r="17" spans="1:33" s="1" customFormat="1" ht="51" x14ac:dyDescent="0.2">
      <c r="A17" s="625" t="s">
        <v>790</v>
      </c>
      <c r="B17" s="638" t="s">
        <v>667</v>
      </c>
      <c r="C17" s="625" t="s">
        <v>130</v>
      </c>
      <c r="D17" s="626" t="s">
        <v>1116</v>
      </c>
      <c r="E17" s="626" t="s">
        <v>1532</v>
      </c>
      <c r="F17" s="636"/>
      <c r="G17" s="673">
        <v>2343.0500000000002</v>
      </c>
      <c r="H17" s="673">
        <v>0</v>
      </c>
      <c r="I17" s="673">
        <f>707.15+6530.9+740.09</f>
        <v>7978.1399999999994</v>
      </c>
      <c r="J17" s="673">
        <v>0</v>
      </c>
      <c r="K17" s="673">
        <v>20000</v>
      </c>
      <c r="L17" s="673">
        <f>1546.84+1039.86+6390.87</f>
        <v>8977.57</v>
      </c>
      <c r="M17" s="673">
        <v>0</v>
      </c>
      <c r="N17" s="673">
        <f>513.59+462.24</f>
        <v>975.83</v>
      </c>
      <c r="O17" s="673">
        <v>0</v>
      </c>
      <c r="P17" s="673">
        <f>73.95+2235.29+2310.84+980.92+49.57+114.46+1117.28+832.17+362.98+832.17+829.27+2153.74+530.63+1004.44+1241.4</f>
        <v>14669.109999999999</v>
      </c>
      <c r="Q17" s="673">
        <v>0</v>
      </c>
      <c r="R17" s="673">
        <v>0</v>
      </c>
      <c r="S17" s="627">
        <f t="shared" si="2"/>
        <v>54943.7</v>
      </c>
      <c r="T17" s="628">
        <f t="shared" ca="1" si="4"/>
        <v>-2592</v>
      </c>
      <c r="U17" s="629">
        <v>41790</v>
      </c>
      <c r="V17" s="630" t="s">
        <v>1254</v>
      </c>
      <c r="W17" s="640" t="s">
        <v>1363</v>
      </c>
      <c r="X17" s="637"/>
      <c r="Y17" s="637"/>
      <c r="Z17" s="637"/>
      <c r="AA17" s="637"/>
      <c r="AB17" s="637"/>
      <c r="AC17" s="632">
        <v>41731</v>
      </c>
      <c r="AD17" s="633">
        <v>41061</v>
      </c>
      <c r="AE17" s="634">
        <f t="shared" ca="1" si="3"/>
        <v>1495</v>
      </c>
      <c r="AF17" s="625" t="s">
        <v>1295</v>
      </c>
    </row>
    <row r="18" spans="1:33" s="1" customFormat="1" ht="51" x14ac:dyDescent="0.2">
      <c r="A18" s="625" t="s">
        <v>790</v>
      </c>
      <c r="B18" s="638" t="s">
        <v>667</v>
      </c>
      <c r="C18" s="625" t="s">
        <v>130</v>
      </c>
      <c r="D18" s="626" t="s">
        <v>1117</v>
      </c>
      <c r="E18" s="626" t="s">
        <v>1532</v>
      </c>
      <c r="F18" s="636"/>
      <c r="G18" s="673">
        <f>7438.03+1067.47</f>
        <v>8505.5</v>
      </c>
      <c r="H18" s="673">
        <v>1350.37</v>
      </c>
      <c r="I18" s="673">
        <v>0</v>
      </c>
      <c r="J18" s="673">
        <v>1405.25</v>
      </c>
      <c r="K18" s="673">
        <v>0</v>
      </c>
      <c r="L18" s="673">
        <v>406.84</v>
      </c>
      <c r="M18" s="673">
        <v>0</v>
      </c>
      <c r="N18" s="673">
        <v>0</v>
      </c>
      <c r="O18" s="673">
        <v>0</v>
      </c>
      <c r="P18" s="673">
        <v>0</v>
      </c>
      <c r="Q18" s="673">
        <v>0</v>
      </c>
      <c r="R18" s="673">
        <v>0</v>
      </c>
      <c r="S18" s="627">
        <f t="shared" si="2"/>
        <v>11667.96</v>
      </c>
      <c r="T18" s="628">
        <f t="shared" ca="1" si="4"/>
        <v>-2592</v>
      </c>
      <c r="U18" s="629">
        <v>41790</v>
      </c>
      <c r="V18" s="630" t="s">
        <v>1254</v>
      </c>
      <c r="W18" s="640" t="s">
        <v>1364</v>
      </c>
      <c r="X18" s="637"/>
      <c r="Y18" s="637"/>
      <c r="Z18" s="637"/>
      <c r="AA18" s="637"/>
      <c r="AB18" s="637"/>
      <c r="AC18" s="632">
        <v>41731</v>
      </c>
      <c r="AD18" s="633">
        <v>41061</v>
      </c>
      <c r="AE18" s="634">
        <f t="shared" ca="1" si="3"/>
        <v>1495</v>
      </c>
      <c r="AF18" s="625" t="s">
        <v>1295</v>
      </c>
    </row>
    <row r="19" spans="1:33" s="1" customFormat="1" ht="76.5" x14ac:dyDescent="0.2">
      <c r="A19" s="625" t="s">
        <v>790</v>
      </c>
      <c r="B19" s="638" t="s">
        <v>667</v>
      </c>
      <c r="C19" s="625" t="s">
        <v>130</v>
      </c>
      <c r="D19" s="626" t="s">
        <v>2770</v>
      </c>
      <c r="E19" s="626" t="s">
        <v>1532</v>
      </c>
      <c r="F19" s="636"/>
      <c r="G19" s="673">
        <v>0</v>
      </c>
      <c r="H19" s="673">
        <v>0</v>
      </c>
      <c r="I19" s="673">
        <v>781.82</v>
      </c>
      <c r="J19" s="673">
        <v>0</v>
      </c>
      <c r="K19" s="673">
        <v>0</v>
      </c>
      <c r="L19" s="673">
        <v>481.53</v>
      </c>
      <c r="M19" s="673">
        <v>0</v>
      </c>
      <c r="N19" s="673">
        <v>0</v>
      </c>
      <c r="O19" s="673">
        <v>0</v>
      </c>
      <c r="P19" s="673">
        <v>4352.32</v>
      </c>
      <c r="Q19" s="673">
        <v>2883.56</v>
      </c>
      <c r="R19" s="673">
        <v>0</v>
      </c>
      <c r="S19" s="627">
        <f t="shared" si="2"/>
        <v>8499.23</v>
      </c>
      <c r="T19" s="628">
        <f t="shared" ca="1" si="4"/>
        <v>-2592</v>
      </c>
      <c r="U19" s="629">
        <v>41790</v>
      </c>
      <c r="V19" s="630" t="s">
        <v>1254</v>
      </c>
      <c r="W19" s="640" t="s">
        <v>1368</v>
      </c>
      <c r="X19" s="637"/>
      <c r="Y19" s="637"/>
      <c r="Z19" s="637"/>
      <c r="AA19" s="637"/>
      <c r="AB19" s="637"/>
      <c r="AC19" s="632">
        <v>41731</v>
      </c>
      <c r="AD19" s="633">
        <v>41061</v>
      </c>
      <c r="AE19" s="634">
        <f t="shared" ca="1" si="3"/>
        <v>1495</v>
      </c>
      <c r="AF19" s="625" t="s">
        <v>1295</v>
      </c>
    </row>
    <row r="20" spans="1:33" s="1" customFormat="1" ht="51" x14ac:dyDescent="0.2">
      <c r="A20" s="625" t="s">
        <v>790</v>
      </c>
      <c r="B20" s="638" t="s">
        <v>667</v>
      </c>
      <c r="C20" s="625" t="s">
        <v>130</v>
      </c>
      <c r="D20" s="626" t="s">
        <v>1119</v>
      </c>
      <c r="E20" s="626" t="s">
        <v>1532</v>
      </c>
      <c r="F20" s="636"/>
      <c r="G20" s="673">
        <f>839.97+102.16+1671.41+116.56+1155.9+257.17+442.3+2958.74</f>
        <v>7544.21</v>
      </c>
      <c r="H20" s="673">
        <v>0</v>
      </c>
      <c r="I20" s="673">
        <v>356.56</v>
      </c>
      <c r="J20" s="673">
        <v>0</v>
      </c>
      <c r="K20" s="673">
        <f>4239.36+237.96+59.07+2586.54+118.36+1319.75+565.13+151.69+641.85</f>
        <v>9919.7099999999991</v>
      </c>
      <c r="L20" s="673">
        <v>0</v>
      </c>
      <c r="M20" s="673">
        <v>0</v>
      </c>
      <c r="N20" s="673">
        <f>10000+10000+1670.42+185.85+99.37</f>
        <v>21955.639999999996</v>
      </c>
      <c r="O20" s="673">
        <v>0</v>
      </c>
      <c r="P20" s="673">
        <v>4331.25</v>
      </c>
      <c r="Q20" s="673">
        <v>0</v>
      </c>
      <c r="R20" s="711">
        <f>881.79+4799.63</f>
        <v>5681.42</v>
      </c>
      <c r="S20" s="627">
        <f t="shared" si="2"/>
        <v>49788.789999999994</v>
      </c>
      <c r="T20" s="628">
        <f t="shared" ca="1" si="4"/>
        <v>-2592</v>
      </c>
      <c r="U20" s="629">
        <v>41790</v>
      </c>
      <c r="V20" s="630" t="s">
        <v>1256</v>
      </c>
      <c r="W20" s="640" t="s">
        <v>1318</v>
      </c>
      <c r="X20" s="637"/>
      <c r="Y20" s="637"/>
      <c r="Z20" s="637"/>
      <c r="AA20" s="637"/>
      <c r="AB20" s="637"/>
      <c r="AC20" s="632">
        <v>41731</v>
      </c>
      <c r="AD20" s="633">
        <v>41061</v>
      </c>
      <c r="AE20" s="634">
        <f t="shared" ca="1" si="3"/>
        <v>1495</v>
      </c>
      <c r="AF20" s="625" t="s">
        <v>1295</v>
      </c>
    </row>
    <row r="21" spans="1:33" s="1" customFormat="1" ht="51" x14ac:dyDescent="0.2">
      <c r="A21" s="625" t="s">
        <v>790</v>
      </c>
      <c r="B21" s="638" t="s">
        <v>667</v>
      </c>
      <c r="C21" s="625" t="s">
        <v>130</v>
      </c>
      <c r="D21" s="626" t="s">
        <v>1121</v>
      </c>
      <c r="E21" s="626" t="s">
        <v>1532</v>
      </c>
      <c r="F21" s="636"/>
      <c r="G21" s="673">
        <v>0</v>
      </c>
      <c r="H21" s="673">
        <v>0</v>
      </c>
      <c r="I21" s="673">
        <f>4085.42+1449.44</f>
        <v>5534.8600000000006</v>
      </c>
      <c r="J21" s="673">
        <v>0</v>
      </c>
      <c r="K21" s="673">
        <f>7354.76+262.7</f>
        <v>7617.46</v>
      </c>
      <c r="L21" s="673">
        <v>179.74</v>
      </c>
      <c r="M21" s="673">
        <f>77.69+135.01+37.15+173</f>
        <v>422.85</v>
      </c>
      <c r="N21" s="673">
        <f>90.82+101.81+889.21</f>
        <v>1081.8400000000001</v>
      </c>
      <c r="O21" s="673">
        <v>0</v>
      </c>
      <c r="P21" s="673">
        <v>0</v>
      </c>
      <c r="Q21" s="673">
        <v>898.71</v>
      </c>
      <c r="R21" s="673">
        <v>0</v>
      </c>
      <c r="S21" s="627">
        <f t="shared" si="2"/>
        <v>15735.46</v>
      </c>
      <c r="T21" s="628">
        <f t="shared" ca="1" si="4"/>
        <v>-2592</v>
      </c>
      <c r="U21" s="629">
        <v>41790</v>
      </c>
      <c r="V21" s="630" t="s">
        <v>1254</v>
      </c>
      <c r="W21" s="640" t="s">
        <v>1367</v>
      </c>
      <c r="X21" s="637"/>
      <c r="Y21" s="637"/>
      <c r="Z21" s="637"/>
      <c r="AA21" s="637"/>
      <c r="AB21" s="637"/>
      <c r="AC21" s="632">
        <v>41731</v>
      </c>
      <c r="AD21" s="633">
        <v>41061</v>
      </c>
      <c r="AE21" s="634">
        <f t="shared" ca="1" si="3"/>
        <v>1495</v>
      </c>
      <c r="AF21" s="625" t="s">
        <v>1295</v>
      </c>
    </row>
    <row r="22" spans="1:33" s="541" customFormat="1" ht="51" x14ac:dyDescent="0.2">
      <c r="A22" s="625" t="s">
        <v>790</v>
      </c>
      <c r="B22" s="638" t="s">
        <v>667</v>
      </c>
      <c r="C22" s="625" t="s">
        <v>130</v>
      </c>
      <c r="D22" s="626" t="s">
        <v>1120</v>
      </c>
      <c r="E22" s="626" t="s">
        <v>1532</v>
      </c>
      <c r="F22" s="636"/>
      <c r="G22" s="673">
        <v>0</v>
      </c>
      <c r="H22" s="673">
        <v>0</v>
      </c>
      <c r="I22" s="673">
        <v>0</v>
      </c>
      <c r="J22" s="673">
        <f>799.43+1739.76+1026.72+470.99</f>
        <v>4036.8999999999996</v>
      </c>
      <c r="K22" s="673">
        <v>0</v>
      </c>
      <c r="L22" s="673">
        <v>0</v>
      </c>
      <c r="M22" s="673">
        <v>0</v>
      </c>
      <c r="N22" s="673">
        <v>0</v>
      </c>
      <c r="O22" s="673">
        <v>0</v>
      </c>
      <c r="P22" s="673">
        <v>0</v>
      </c>
      <c r="Q22" s="673">
        <v>0</v>
      </c>
      <c r="R22" s="673">
        <v>88.23</v>
      </c>
      <c r="S22" s="627">
        <f t="shared" si="2"/>
        <v>4125.1299999999992</v>
      </c>
      <c r="T22" s="628">
        <f t="shared" ca="1" si="4"/>
        <v>-2592</v>
      </c>
      <c r="U22" s="629">
        <v>41790</v>
      </c>
      <c r="V22" s="630" t="s">
        <v>1254</v>
      </c>
      <c r="W22" s="640" t="s">
        <v>1370</v>
      </c>
      <c r="X22" s="637"/>
      <c r="Y22" s="637"/>
      <c r="Z22" s="637"/>
      <c r="AA22" s="637"/>
      <c r="AB22" s="637"/>
      <c r="AC22" s="632">
        <v>41731</v>
      </c>
      <c r="AD22" s="633">
        <v>41061</v>
      </c>
      <c r="AE22" s="634">
        <f t="shared" ca="1" si="3"/>
        <v>1495</v>
      </c>
      <c r="AF22" s="625" t="s">
        <v>1295</v>
      </c>
    </row>
    <row r="23" spans="1:33" s="541" customFormat="1" ht="51" x14ac:dyDescent="0.2">
      <c r="A23" s="625" t="s">
        <v>790</v>
      </c>
      <c r="B23" s="638" t="s">
        <v>667</v>
      </c>
      <c r="C23" s="625" t="s">
        <v>130</v>
      </c>
      <c r="D23" s="626" t="s">
        <v>1122</v>
      </c>
      <c r="E23" s="626" t="s">
        <v>1532</v>
      </c>
      <c r="F23" s="636"/>
      <c r="G23" s="673">
        <v>245.59</v>
      </c>
      <c r="H23" s="673">
        <v>0</v>
      </c>
      <c r="I23" s="673">
        <f>77.06+5194.14</f>
        <v>5271.2000000000007</v>
      </c>
      <c r="J23" s="673">
        <f>336.06+771.48+10000+156.36+46.68+189.84+57.56</f>
        <v>11557.980000000001</v>
      </c>
      <c r="K23" s="673">
        <v>0</v>
      </c>
      <c r="L23" s="673">
        <f>106.89+169.93+161.89+539.5+1132.63+751.25</f>
        <v>2862.09</v>
      </c>
      <c r="M23" s="673">
        <v>0</v>
      </c>
      <c r="N23" s="673">
        <f>74.57+2191.35+9936.94</f>
        <v>12202.86</v>
      </c>
      <c r="O23" s="673">
        <v>0</v>
      </c>
      <c r="P23" s="673">
        <v>0</v>
      </c>
      <c r="Q23" s="673">
        <v>0</v>
      </c>
      <c r="R23" s="673">
        <f>1219.35+2000+186.09+153.98+64</f>
        <v>3623.42</v>
      </c>
      <c r="S23" s="627">
        <f t="shared" si="2"/>
        <v>35763.140000000007</v>
      </c>
      <c r="T23" s="628">
        <f t="shared" ca="1" si="4"/>
        <v>-2592</v>
      </c>
      <c r="U23" s="629">
        <v>41790</v>
      </c>
      <c r="V23" s="630" t="s">
        <v>1254</v>
      </c>
      <c r="W23" s="640" t="s">
        <v>1369</v>
      </c>
      <c r="X23" s="637"/>
      <c r="Y23" s="637"/>
      <c r="Z23" s="637"/>
      <c r="AA23" s="637"/>
      <c r="AB23" s="637"/>
      <c r="AC23" s="632">
        <v>41731</v>
      </c>
      <c r="AD23" s="633">
        <v>41061</v>
      </c>
      <c r="AE23" s="634">
        <f t="shared" ca="1" si="3"/>
        <v>1495</v>
      </c>
      <c r="AF23" s="625" t="s">
        <v>1295</v>
      </c>
      <c r="AG23" s="1"/>
    </row>
    <row r="24" spans="1:33" s="541" customFormat="1" ht="51" x14ac:dyDescent="0.2">
      <c r="A24" s="625" t="s">
        <v>790</v>
      </c>
      <c r="B24" s="638" t="s">
        <v>667</v>
      </c>
      <c r="C24" s="625" t="s">
        <v>130</v>
      </c>
      <c r="D24" s="626" t="s">
        <v>1505</v>
      </c>
      <c r="E24" s="626" t="s">
        <v>1532</v>
      </c>
      <c r="F24" s="636"/>
      <c r="G24" s="673">
        <f>2364.35+2139.2</f>
        <v>4503.5499999999993</v>
      </c>
      <c r="H24" s="673">
        <v>684.61</v>
      </c>
      <c r="I24" s="673">
        <f>717.49+498.29+150</f>
        <v>1365.78</v>
      </c>
      <c r="J24" s="673">
        <v>5210.97</v>
      </c>
      <c r="K24" s="673">
        <f>10000+196.24</f>
        <v>10196.24</v>
      </c>
      <c r="L24" s="673">
        <v>0</v>
      </c>
      <c r="M24" s="673">
        <f>4906.9+4197.52+262.2</f>
        <v>9366.6200000000008</v>
      </c>
      <c r="N24" s="673">
        <f>43+88.57+1705.73+172.84</f>
        <v>2010.1399999999999</v>
      </c>
      <c r="O24" s="673">
        <v>0</v>
      </c>
      <c r="P24" s="673">
        <v>484.84</v>
      </c>
      <c r="Q24" s="673">
        <v>150</v>
      </c>
      <c r="R24" s="673">
        <f>84.22+124.77+1480.09+262.53+1278.89+10000</f>
        <v>13230.5</v>
      </c>
      <c r="S24" s="627">
        <f t="shared" si="2"/>
        <v>47203.25</v>
      </c>
      <c r="T24" s="628">
        <f t="shared" ca="1" si="4"/>
        <v>-2592</v>
      </c>
      <c r="U24" s="629">
        <v>41790</v>
      </c>
      <c r="V24" s="630" t="s">
        <v>1254</v>
      </c>
      <c r="W24" s="640" t="s">
        <v>1366</v>
      </c>
      <c r="X24" s="637"/>
      <c r="Y24" s="637"/>
      <c r="Z24" s="637"/>
      <c r="AA24" s="637"/>
      <c r="AB24" s="637"/>
      <c r="AC24" s="632">
        <v>41731</v>
      </c>
      <c r="AD24" s="633">
        <v>41061</v>
      </c>
      <c r="AE24" s="634">
        <f t="shared" ca="1" si="3"/>
        <v>1495</v>
      </c>
      <c r="AF24" s="625" t="s">
        <v>1295</v>
      </c>
    </row>
    <row r="25" spans="1:33" s="541" customFormat="1" ht="51" x14ac:dyDescent="0.2">
      <c r="A25" s="625" t="s">
        <v>790</v>
      </c>
      <c r="B25" s="638" t="s">
        <v>667</v>
      </c>
      <c r="C25" s="625" t="s">
        <v>130</v>
      </c>
      <c r="D25" s="626" t="s">
        <v>1125</v>
      </c>
      <c r="E25" s="626" t="s">
        <v>1532</v>
      </c>
      <c r="F25" s="636"/>
      <c r="G25" s="673">
        <v>0</v>
      </c>
      <c r="H25" s="673">
        <v>0</v>
      </c>
      <c r="I25" s="673">
        <v>0</v>
      </c>
      <c r="J25" s="673">
        <v>0</v>
      </c>
      <c r="K25" s="673">
        <v>0</v>
      </c>
      <c r="L25" s="673">
        <v>0</v>
      </c>
      <c r="M25" s="673">
        <v>0</v>
      </c>
      <c r="N25" s="673">
        <v>0</v>
      </c>
      <c r="O25" s="673">
        <v>0</v>
      </c>
      <c r="P25" s="673">
        <v>0</v>
      </c>
      <c r="Q25" s="673">
        <v>0</v>
      </c>
      <c r="R25" s="673">
        <v>0</v>
      </c>
      <c r="S25" s="627">
        <f t="shared" si="2"/>
        <v>0</v>
      </c>
      <c r="T25" s="628">
        <f t="shared" ca="1" si="4"/>
        <v>-2957</v>
      </c>
      <c r="U25" s="629">
        <v>41425</v>
      </c>
      <c r="V25" s="630" t="s">
        <v>1115</v>
      </c>
      <c r="W25" s="640" t="s">
        <v>1372</v>
      </c>
      <c r="X25" s="637"/>
      <c r="Y25" s="637"/>
      <c r="Z25" s="637"/>
      <c r="AA25" s="637"/>
      <c r="AB25" s="637"/>
      <c r="AC25" s="632">
        <v>41731</v>
      </c>
      <c r="AD25" s="633">
        <v>41061</v>
      </c>
      <c r="AE25" s="634">
        <f t="shared" ca="1" si="3"/>
        <v>1495</v>
      </c>
      <c r="AF25" s="625" t="s">
        <v>1295</v>
      </c>
    </row>
    <row r="26" spans="1:33" s="308" customFormat="1" ht="38.25" x14ac:dyDescent="0.2">
      <c r="A26" s="339" t="s">
        <v>1126</v>
      </c>
      <c r="B26" s="339" t="s">
        <v>1353</v>
      </c>
      <c r="C26" s="339" t="s">
        <v>56</v>
      </c>
      <c r="D26" s="340" t="s">
        <v>1127</v>
      </c>
      <c r="E26" s="340" t="s">
        <v>1881</v>
      </c>
      <c r="F26" s="365" t="s">
        <v>1888</v>
      </c>
      <c r="G26" s="673">
        <v>519.12</v>
      </c>
      <c r="H26" s="673">
        <v>578.19000000000005</v>
      </c>
      <c r="I26" s="673">
        <v>607.02</v>
      </c>
      <c r="J26" s="673">
        <v>571</v>
      </c>
      <c r="K26" s="673">
        <v>516.97</v>
      </c>
      <c r="L26" s="673">
        <v>635.11</v>
      </c>
      <c r="M26" s="673">
        <v>671.13</v>
      </c>
      <c r="N26" s="673">
        <v>563.42999999999995</v>
      </c>
      <c r="O26" s="673">
        <v>582.04</v>
      </c>
      <c r="P26" s="673">
        <v>624.47</v>
      </c>
      <c r="Q26" s="673">
        <v>587.25</v>
      </c>
      <c r="R26" s="673">
        <v>544.82000000000005</v>
      </c>
      <c r="S26" s="673">
        <f t="shared" si="2"/>
        <v>7000.55</v>
      </c>
      <c r="T26" s="610">
        <f t="shared" ca="1" si="4"/>
        <v>-1109</v>
      </c>
      <c r="U26" s="611">
        <v>43273</v>
      </c>
      <c r="V26" s="345" t="s">
        <v>2028</v>
      </c>
      <c r="W26" s="612" t="s">
        <v>1996</v>
      </c>
      <c r="X26" s="648"/>
      <c r="Y26" s="648"/>
      <c r="Z26" s="648"/>
      <c r="AA26" s="648"/>
      <c r="AB26" s="648"/>
      <c r="AC26" s="616" t="s">
        <v>1994</v>
      </c>
      <c r="AD26" s="346">
        <v>41082</v>
      </c>
      <c r="AE26" s="614">
        <f t="shared" ca="1" si="3"/>
        <v>1474</v>
      </c>
      <c r="AF26" s="339" t="s">
        <v>96</v>
      </c>
    </row>
    <row r="27" spans="1:33" s="541" customFormat="1" ht="51" x14ac:dyDescent="0.2">
      <c r="A27" s="339" t="s">
        <v>1155</v>
      </c>
      <c r="B27" s="339" t="s">
        <v>1154</v>
      </c>
      <c r="C27" s="339" t="s">
        <v>613</v>
      </c>
      <c r="D27" s="340" t="s">
        <v>1050</v>
      </c>
      <c r="E27" s="340" t="s">
        <v>1209</v>
      </c>
      <c r="F27" s="365">
        <v>112623</v>
      </c>
      <c r="G27" s="673">
        <v>18388.48</v>
      </c>
      <c r="H27" s="673">
        <v>9194.24</v>
      </c>
      <c r="I27" s="673">
        <v>0</v>
      </c>
      <c r="J27" s="673">
        <v>9194.24</v>
      </c>
      <c r="K27" s="673">
        <v>9194.24</v>
      </c>
      <c r="L27" s="673">
        <v>9194.24</v>
      </c>
      <c r="M27" s="673">
        <v>0</v>
      </c>
      <c r="N27" s="673">
        <v>0</v>
      </c>
      <c r="O27" s="673">
        <v>0</v>
      </c>
      <c r="P27" s="673">
        <v>0</v>
      </c>
      <c r="Q27" s="673">
        <f>9194.24+9194.24</f>
        <v>18388.48</v>
      </c>
      <c r="R27" s="673">
        <v>45979.15</v>
      </c>
      <c r="S27" s="656">
        <f t="shared" si="2"/>
        <v>119533.07</v>
      </c>
      <c r="T27" s="610">
        <f t="shared" ca="1" si="4"/>
        <v>-1054</v>
      </c>
      <c r="U27" s="611">
        <v>43328</v>
      </c>
      <c r="V27" s="345" t="s">
        <v>2113</v>
      </c>
      <c r="W27" s="612" t="s">
        <v>731</v>
      </c>
      <c r="X27" s="613"/>
      <c r="Y27" s="613"/>
      <c r="Z27" s="613"/>
      <c r="AA27" s="613"/>
      <c r="AB27" s="613"/>
      <c r="AC27" s="616"/>
      <c r="AD27" s="346">
        <v>41138</v>
      </c>
      <c r="AE27" s="614">
        <f ca="1">TODAY()-DATE(YEAR(AD27)+6,MONTH(AD27),DAY(AD27))</f>
        <v>1053</v>
      </c>
      <c r="AF27" s="339" t="s">
        <v>169</v>
      </c>
    </row>
    <row r="28" spans="1:33" s="541" customFormat="1" ht="24.75" customHeight="1" x14ac:dyDescent="0.2">
      <c r="A28" s="339" t="s">
        <v>215</v>
      </c>
      <c r="B28" s="339" t="s">
        <v>23</v>
      </c>
      <c r="C28" s="339" t="s">
        <v>24</v>
      </c>
      <c r="D28" s="340" t="s">
        <v>216</v>
      </c>
      <c r="E28" s="340" t="s">
        <v>1389</v>
      </c>
      <c r="F28" s="365" t="s">
        <v>375</v>
      </c>
      <c r="G28" s="673">
        <v>122.1</v>
      </c>
      <c r="H28" s="673">
        <f>79.09+116.6</f>
        <v>195.69</v>
      </c>
      <c r="I28" s="673">
        <v>176</v>
      </c>
      <c r="J28" s="673">
        <v>272.91000000000003</v>
      </c>
      <c r="K28" s="673">
        <v>294.02999999999997</v>
      </c>
      <c r="L28" s="673">
        <v>611.6</v>
      </c>
      <c r="M28" s="673">
        <v>0</v>
      </c>
      <c r="N28" s="673">
        <v>0</v>
      </c>
      <c r="O28" s="673">
        <v>0</v>
      </c>
      <c r="P28" s="673">
        <f>682.88+783.42+829.29+644.05</f>
        <v>2939.6400000000003</v>
      </c>
      <c r="Q28" s="673">
        <v>0</v>
      </c>
      <c r="R28" s="673">
        <f>642.07+523.71</f>
        <v>1165.7800000000002</v>
      </c>
      <c r="S28" s="656">
        <f t="shared" si="2"/>
        <v>5777.75</v>
      </c>
      <c r="T28" s="610">
        <f t="shared" ca="1" si="4"/>
        <v>-1353</v>
      </c>
      <c r="U28" s="611">
        <v>43029</v>
      </c>
      <c r="V28" s="615" t="s">
        <v>1157</v>
      </c>
      <c r="W28" s="612" t="s">
        <v>757</v>
      </c>
      <c r="X28" s="613"/>
      <c r="Y28" s="613"/>
      <c r="Z28" s="613"/>
      <c r="AA28" s="613"/>
      <c r="AB28" s="613"/>
      <c r="AC28" s="616">
        <v>42970</v>
      </c>
      <c r="AD28" s="346">
        <v>41204</v>
      </c>
      <c r="AE28" s="614">
        <f ca="1">TODAY()-DATE(YEAR(AD28)+6,MONTH(AD28),DAY(AD28))</f>
        <v>987</v>
      </c>
      <c r="AF28" s="339" t="s">
        <v>169</v>
      </c>
    </row>
    <row r="29" spans="1:33" s="311" customFormat="1" ht="38.25" x14ac:dyDescent="0.2">
      <c r="A29" s="675" t="s">
        <v>1158</v>
      </c>
      <c r="B29" s="339" t="s">
        <v>590</v>
      </c>
      <c r="C29" s="339"/>
      <c r="D29" s="340" t="s">
        <v>1423</v>
      </c>
      <c r="E29" s="340" t="s">
        <v>1160</v>
      </c>
      <c r="F29" s="365">
        <v>13598.16</v>
      </c>
      <c r="G29" s="673">
        <v>2837.17</v>
      </c>
      <c r="H29" s="673">
        <v>2223.63</v>
      </c>
      <c r="I29" s="673">
        <v>3012.07</v>
      </c>
      <c r="J29" s="673">
        <v>2371.17</v>
      </c>
      <c r="K29" s="673">
        <v>2529.73</v>
      </c>
      <c r="L29" s="673">
        <v>2317.31</v>
      </c>
      <c r="M29" s="673">
        <v>3216.01</v>
      </c>
      <c r="N29" s="673">
        <v>2980.3</v>
      </c>
      <c r="O29" s="673">
        <v>2729.66</v>
      </c>
      <c r="P29" s="673">
        <v>2476.86</v>
      </c>
      <c r="Q29" s="673">
        <v>2318.1799999999998</v>
      </c>
      <c r="R29" s="673">
        <v>1839.7</v>
      </c>
      <c r="S29" s="656">
        <f t="shared" si="2"/>
        <v>30851.79</v>
      </c>
      <c r="T29" s="610">
        <f t="shared" ca="1" si="4"/>
        <v>-1005</v>
      </c>
      <c r="U29" s="611">
        <v>43377</v>
      </c>
      <c r="V29" s="345" t="s">
        <v>2085</v>
      </c>
      <c r="W29" s="612" t="s">
        <v>1394</v>
      </c>
      <c r="X29" s="613"/>
      <c r="Y29" s="613"/>
      <c r="Z29" s="613"/>
      <c r="AA29" s="613"/>
      <c r="AB29" s="613"/>
      <c r="AC29" s="616"/>
      <c r="AD29" s="346">
        <v>41186</v>
      </c>
      <c r="AE29" s="614">
        <f t="shared" ref="AE29:AE70" ca="1" si="5">TODAY()-DATE(YEAR(AD29)+6,MONTH(AD29),DAY(AD29))</f>
        <v>1005</v>
      </c>
      <c r="AF29" s="339" t="s">
        <v>48</v>
      </c>
    </row>
    <row r="30" spans="1:33" s="541" customFormat="1" ht="89.25" x14ac:dyDescent="0.2">
      <c r="A30" s="339" t="s">
        <v>1174</v>
      </c>
      <c r="B30" s="339" t="s">
        <v>23</v>
      </c>
      <c r="C30" s="339"/>
      <c r="D30" s="340" t="s">
        <v>1972</v>
      </c>
      <c r="E30" s="340" t="s">
        <v>1534</v>
      </c>
      <c r="F30" s="365">
        <v>131897.70000000001</v>
      </c>
      <c r="G30" s="673">
        <f>1638.92+1209.15</f>
        <v>2848.07</v>
      </c>
      <c r="H30" s="673">
        <f>617.88+2076.9</f>
        <v>2694.78</v>
      </c>
      <c r="I30" s="673">
        <f>1581.8+1623.38</f>
        <v>3205.1800000000003</v>
      </c>
      <c r="J30" s="673">
        <f>1936.38+1254.87</f>
        <v>3191.25</v>
      </c>
      <c r="K30" s="673">
        <v>2046.56</v>
      </c>
      <c r="L30" s="673">
        <f>1472.02+1667</f>
        <v>3139.02</v>
      </c>
      <c r="M30" s="673">
        <f>1270.99+1083.46</f>
        <v>2354.4499999999998</v>
      </c>
      <c r="N30" s="673">
        <f>1937.11+1281.35</f>
        <v>3218.46</v>
      </c>
      <c r="O30" s="673">
        <f>1724.01+1874.18</f>
        <v>3598.19</v>
      </c>
      <c r="P30" s="673">
        <f>1288.72+1857.44</f>
        <v>3146.16</v>
      </c>
      <c r="Q30" s="673">
        <f>1112.53+770.42</f>
        <v>1882.9499999999998</v>
      </c>
      <c r="R30" s="673">
        <f>1859.52+1723.75</f>
        <v>3583.27</v>
      </c>
      <c r="S30" s="656">
        <f t="shared" si="2"/>
        <v>34908.339999999997</v>
      </c>
      <c r="T30" s="610">
        <f t="shared" ca="1" si="4"/>
        <v>-1345</v>
      </c>
      <c r="U30" s="611">
        <v>43037</v>
      </c>
      <c r="V30" s="615" t="s">
        <v>1973</v>
      </c>
      <c r="W30" s="612" t="s">
        <v>1397</v>
      </c>
      <c r="X30" s="613"/>
      <c r="Y30" s="613"/>
      <c r="Z30" s="613"/>
      <c r="AA30" s="613"/>
      <c r="AB30" s="613"/>
      <c r="AC30" s="616">
        <v>42999</v>
      </c>
      <c r="AD30" s="346">
        <v>41212</v>
      </c>
      <c r="AE30" s="614">
        <f t="shared" ca="1" si="5"/>
        <v>979</v>
      </c>
      <c r="AF30" s="339" t="s">
        <v>48</v>
      </c>
    </row>
    <row r="31" spans="1:33" s="541" customFormat="1" ht="51.75" customHeight="1" x14ac:dyDescent="0.2">
      <c r="A31" s="625" t="s">
        <v>790</v>
      </c>
      <c r="B31" s="625" t="s">
        <v>23</v>
      </c>
      <c r="C31" s="625" t="s">
        <v>130</v>
      </c>
      <c r="D31" s="626" t="s">
        <v>1181</v>
      </c>
      <c r="E31" s="626" t="s">
        <v>1535</v>
      </c>
      <c r="F31" s="624" t="s">
        <v>314</v>
      </c>
      <c r="G31" s="673">
        <v>0</v>
      </c>
      <c r="H31" s="673">
        <v>0</v>
      </c>
      <c r="I31" s="673">
        <v>0</v>
      </c>
      <c r="J31" s="673">
        <v>0</v>
      </c>
      <c r="K31" s="673">
        <v>0</v>
      </c>
      <c r="L31" s="673">
        <v>0</v>
      </c>
      <c r="M31" s="673">
        <v>0</v>
      </c>
      <c r="N31" s="673">
        <v>0</v>
      </c>
      <c r="O31" s="673">
        <v>0</v>
      </c>
      <c r="P31" s="673">
        <v>0</v>
      </c>
      <c r="Q31" s="673">
        <v>0</v>
      </c>
      <c r="R31" s="673">
        <v>0</v>
      </c>
      <c r="S31" s="627">
        <f t="shared" si="2"/>
        <v>0</v>
      </c>
      <c r="T31" s="628">
        <f t="shared" ca="1" si="4"/>
        <v>-2821</v>
      </c>
      <c r="U31" s="629">
        <v>41561</v>
      </c>
      <c r="V31" s="630" t="s">
        <v>1536</v>
      </c>
      <c r="W31" s="635" t="s">
        <v>1398</v>
      </c>
      <c r="X31" s="631"/>
      <c r="Y31" s="631"/>
      <c r="Z31" s="631"/>
      <c r="AA31" s="631"/>
      <c r="AB31" s="631"/>
      <c r="AC31" s="632">
        <v>41512</v>
      </c>
      <c r="AD31" s="633">
        <v>41197</v>
      </c>
      <c r="AE31" s="634">
        <f t="shared" ca="1" si="5"/>
        <v>994</v>
      </c>
      <c r="AF31" s="625" t="s">
        <v>201</v>
      </c>
    </row>
    <row r="32" spans="1:33" s="308" customFormat="1" ht="63.75" x14ac:dyDescent="0.2">
      <c r="A32" s="339" t="s">
        <v>1201</v>
      </c>
      <c r="B32" s="619" t="s">
        <v>1321</v>
      </c>
      <c r="C32" s="339" t="s">
        <v>617</v>
      </c>
      <c r="D32" s="340" t="s">
        <v>1202</v>
      </c>
      <c r="E32" s="340" t="s">
        <v>2043</v>
      </c>
      <c r="F32" s="365">
        <v>3711.84</v>
      </c>
      <c r="G32" s="673">
        <v>603.22</v>
      </c>
      <c r="H32" s="673">
        <v>603.22</v>
      </c>
      <c r="I32" s="673">
        <v>603.22</v>
      </c>
      <c r="J32" s="673">
        <v>603.22</v>
      </c>
      <c r="K32" s="673">
        <v>603.22</v>
      </c>
      <c r="L32" s="673">
        <v>603.22</v>
      </c>
      <c r="M32" s="673">
        <v>603.22</v>
      </c>
      <c r="N32" s="673">
        <v>603.22</v>
      </c>
      <c r="O32" s="673">
        <v>618.64</v>
      </c>
      <c r="P32" s="673">
        <v>618.64</v>
      </c>
      <c r="Q32" s="673">
        <v>618.64</v>
      </c>
      <c r="R32" s="673">
        <v>618.64</v>
      </c>
      <c r="S32" s="656">
        <f t="shared" si="2"/>
        <v>7300.3200000000024</v>
      </c>
      <c r="T32" s="610">
        <f t="shared" ca="1" si="4"/>
        <v>-1255</v>
      </c>
      <c r="U32" s="611">
        <v>43127</v>
      </c>
      <c r="V32" s="615" t="s">
        <v>2044</v>
      </c>
      <c r="W32" s="612"/>
      <c r="X32" s="613"/>
      <c r="Y32" s="613"/>
      <c r="Z32" s="613"/>
      <c r="AA32" s="613"/>
      <c r="AB32" s="613"/>
      <c r="AC32" s="616">
        <v>43045</v>
      </c>
      <c r="AD32" s="346">
        <v>41302</v>
      </c>
      <c r="AE32" s="614">
        <f t="shared" ca="1" si="5"/>
        <v>889</v>
      </c>
      <c r="AF32" s="339" t="s">
        <v>96</v>
      </c>
    </row>
    <row r="33" spans="1:32" s="659" customFormat="1" ht="25.5" x14ac:dyDescent="0.2">
      <c r="A33" s="676" t="s">
        <v>1391</v>
      </c>
      <c r="B33" s="625"/>
      <c r="C33" s="625"/>
      <c r="D33" s="626" t="s">
        <v>1228</v>
      </c>
      <c r="E33" s="626" t="s">
        <v>1229</v>
      </c>
      <c r="F33" s="624">
        <v>4788</v>
      </c>
      <c r="G33" s="673">
        <v>399</v>
      </c>
      <c r="H33" s="673">
        <v>408.18</v>
      </c>
      <c r="I33" s="673">
        <f>458.9+399</f>
        <v>857.9</v>
      </c>
      <c r="J33" s="673">
        <v>399</v>
      </c>
      <c r="K33" s="673">
        <v>0</v>
      </c>
      <c r="L33" s="673">
        <f>399+399</f>
        <v>798</v>
      </c>
      <c r="M33" s="673">
        <v>0</v>
      </c>
      <c r="N33" s="673">
        <f>399+399</f>
        <v>798</v>
      </c>
      <c r="O33" s="673">
        <v>0</v>
      </c>
      <c r="P33" s="673">
        <f>399+407.11</f>
        <v>806.11</v>
      </c>
      <c r="Q33" s="673">
        <v>0</v>
      </c>
      <c r="R33" s="673">
        <v>399</v>
      </c>
      <c r="S33" s="627">
        <f t="shared" si="2"/>
        <v>4865.1899999999996</v>
      </c>
      <c r="T33" s="628">
        <f t="shared" ca="1" si="4"/>
        <v>-2690</v>
      </c>
      <c r="U33" s="629">
        <v>41692</v>
      </c>
      <c r="V33" s="630" t="s">
        <v>1230</v>
      </c>
      <c r="W33" s="635"/>
      <c r="X33" s="631"/>
      <c r="Y33" s="631"/>
      <c r="Z33" s="631"/>
      <c r="AA33" s="631"/>
      <c r="AB33" s="631"/>
      <c r="AC33" s="632">
        <v>41667</v>
      </c>
      <c r="AD33" s="633">
        <v>41327</v>
      </c>
      <c r="AE33" s="634">
        <f t="shared" ca="1" si="5"/>
        <v>864</v>
      </c>
      <c r="AF33" s="625" t="s">
        <v>41</v>
      </c>
    </row>
    <row r="34" spans="1:32" s="311" customFormat="1" ht="38.25" x14ac:dyDescent="0.2">
      <c r="A34" s="675" t="s">
        <v>1332</v>
      </c>
      <c r="B34" s="339" t="s">
        <v>1353</v>
      </c>
      <c r="C34" s="339"/>
      <c r="D34" s="340" t="s">
        <v>194</v>
      </c>
      <c r="E34" s="340" t="s">
        <v>1663</v>
      </c>
      <c r="F34" s="365">
        <v>15600</v>
      </c>
      <c r="G34" s="673">
        <v>1300</v>
      </c>
      <c r="H34" s="673">
        <v>1300</v>
      </c>
      <c r="I34" s="673">
        <v>1300</v>
      </c>
      <c r="J34" s="673">
        <v>1300</v>
      </c>
      <c r="K34" s="673">
        <v>1300</v>
      </c>
      <c r="L34" s="673">
        <v>0</v>
      </c>
      <c r="M34" s="673">
        <f>1300+1300</f>
        <v>2600</v>
      </c>
      <c r="N34" s="673">
        <v>1300</v>
      </c>
      <c r="O34" s="673">
        <v>0</v>
      </c>
      <c r="P34" s="673">
        <f>1300+1300</f>
        <v>2600</v>
      </c>
      <c r="Q34" s="673">
        <v>1300</v>
      </c>
      <c r="R34" s="673">
        <v>1300</v>
      </c>
      <c r="S34" s="656">
        <f t="shared" si="2"/>
        <v>15600</v>
      </c>
      <c r="T34" s="610">
        <f ca="1">U34-$AE$3</f>
        <v>-1181</v>
      </c>
      <c r="U34" s="611">
        <v>43201</v>
      </c>
      <c r="V34" s="345" t="s">
        <v>2015</v>
      </c>
      <c r="W34" s="612" t="s">
        <v>734</v>
      </c>
      <c r="X34" s="613"/>
      <c r="Y34" s="613"/>
      <c r="Z34" s="613"/>
      <c r="AA34" s="613"/>
      <c r="AB34" s="613"/>
      <c r="AC34" s="616"/>
      <c r="AD34" s="346">
        <v>41376</v>
      </c>
      <c r="AE34" s="614">
        <f t="shared" ca="1" si="5"/>
        <v>815</v>
      </c>
      <c r="AF34" s="339" t="s">
        <v>48</v>
      </c>
    </row>
    <row r="35" spans="1:32" s="308" customFormat="1" ht="38.25" x14ac:dyDescent="0.2">
      <c r="A35" s="339" t="s">
        <v>1698</v>
      </c>
      <c r="B35" s="619" t="s">
        <v>1330</v>
      </c>
      <c r="C35" s="339"/>
      <c r="D35" s="340" t="s">
        <v>340</v>
      </c>
      <c r="E35" s="340" t="s">
        <v>1249</v>
      </c>
      <c r="F35" s="365">
        <v>23087.279999999999</v>
      </c>
      <c r="G35" s="673">
        <v>1923.94</v>
      </c>
      <c r="H35" s="673">
        <v>1923.94</v>
      </c>
      <c r="I35" s="673">
        <v>1972.04</v>
      </c>
      <c r="J35" s="673">
        <v>0</v>
      </c>
      <c r="K35" s="673">
        <v>0</v>
      </c>
      <c r="L35" s="673">
        <v>0</v>
      </c>
      <c r="M35" s="673">
        <v>0</v>
      </c>
      <c r="N35" s="673">
        <v>0</v>
      </c>
      <c r="O35" s="673">
        <v>0</v>
      </c>
      <c r="P35" s="673">
        <v>0</v>
      </c>
      <c r="Q35" s="673">
        <v>0</v>
      </c>
      <c r="R35" s="673">
        <v>0</v>
      </c>
      <c r="S35" s="656">
        <f t="shared" si="2"/>
        <v>5819.92</v>
      </c>
      <c r="T35" s="610">
        <f t="shared" ref="T35:T73" ca="1" si="6">U35-$AE$3</f>
        <v>-1581</v>
      </c>
      <c r="U35" s="611">
        <v>42801</v>
      </c>
      <c r="V35" s="345" t="s">
        <v>1867</v>
      </c>
      <c r="W35" s="612" t="s">
        <v>1331</v>
      </c>
      <c r="X35" s="613"/>
      <c r="Y35" s="613"/>
      <c r="Z35" s="613"/>
      <c r="AA35" s="613"/>
      <c r="AB35" s="613"/>
      <c r="AC35" s="616">
        <v>42747</v>
      </c>
      <c r="AD35" s="346">
        <v>41341</v>
      </c>
      <c r="AE35" s="614">
        <f t="shared" ca="1" si="5"/>
        <v>850</v>
      </c>
      <c r="AF35" s="339" t="s">
        <v>96</v>
      </c>
    </row>
    <row r="36" spans="1:32" s="311" customFormat="1" ht="38.25" x14ac:dyDescent="0.2">
      <c r="A36" s="675" t="s">
        <v>1316</v>
      </c>
      <c r="B36" s="339" t="s">
        <v>1317</v>
      </c>
      <c r="C36" s="339" t="s">
        <v>1290</v>
      </c>
      <c r="D36" s="340" t="s">
        <v>1267</v>
      </c>
      <c r="E36" s="340" t="s">
        <v>1665</v>
      </c>
      <c r="F36" s="365" t="s">
        <v>1889</v>
      </c>
      <c r="G36" s="673">
        <v>4117.45</v>
      </c>
      <c r="H36" s="673">
        <v>4117.45</v>
      </c>
      <c r="I36" s="673">
        <v>0</v>
      </c>
      <c r="J36" s="673">
        <v>4337.3100000000004</v>
      </c>
      <c r="K36" s="673">
        <v>4337.3100000000004</v>
      </c>
      <c r="L36" s="673">
        <v>4337.3100000000004</v>
      </c>
      <c r="M36" s="673">
        <v>4337.3100000000004</v>
      </c>
      <c r="N36" s="673">
        <v>4337.3100000000004</v>
      </c>
      <c r="O36" s="673">
        <v>0</v>
      </c>
      <c r="P36" s="673">
        <v>8674.6200000000008</v>
      </c>
      <c r="Q36" s="673">
        <v>4337.3100000000004</v>
      </c>
      <c r="R36" s="673">
        <v>0</v>
      </c>
      <c r="S36" s="656">
        <f t="shared" si="2"/>
        <v>42933.380000000005</v>
      </c>
      <c r="T36" s="610">
        <f t="shared" ca="1" si="6"/>
        <v>-1070</v>
      </c>
      <c r="U36" s="611">
        <v>43312</v>
      </c>
      <c r="V36" s="345" t="s">
        <v>1883</v>
      </c>
      <c r="W36" s="612" t="s">
        <v>1378</v>
      </c>
      <c r="X36" s="613"/>
      <c r="Y36" s="613"/>
      <c r="Z36" s="613"/>
      <c r="AA36" s="613"/>
      <c r="AB36" s="613"/>
      <c r="AC36" s="616"/>
      <c r="AD36" s="346">
        <v>41486</v>
      </c>
      <c r="AE36" s="614">
        <f t="shared" ca="1" si="5"/>
        <v>705</v>
      </c>
      <c r="AF36" s="339" t="s">
        <v>41</v>
      </c>
    </row>
    <row r="37" spans="1:32" s="311" customFormat="1" ht="38.25" x14ac:dyDescent="0.2">
      <c r="A37" s="675" t="s">
        <v>1277</v>
      </c>
      <c r="B37" s="339" t="s">
        <v>1309</v>
      </c>
      <c r="C37" s="339" t="s">
        <v>1290</v>
      </c>
      <c r="D37" s="340" t="s">
        <v>1282</v>
      </c>
      <c r="E37" s="340" t="s">
        <v>1621</v>
      </c>
      <c r="F37" s="365">
        <v>594446.28</v>
      </c>
      <c r="G37" s="673">
        <v>49537.19</v>
      </c>
      <c r="H37" s="673">
        <v>49537.19</v>
      </c>
      <c r="I37" s="673">
        <v>0</v>
      </c>
      <c r="J37" s="673">
        <v>0</v>
      </c>
      <c r="K37" s="673">
        <v>0</v>
      </c>
      <c r="L37" s="673">
        <v>0</v>
      </c>
      <c r="M37" s="673">
        <v>106821.6</v>
      </c>
      <c r="N37" s="673">
        <v>49537.19</v>
      </c>
      <c r="O37" s="673">
        <v>0</v>
      </c>
      <c r="P37" s="673">
        <v>0</v>
      </c>
      <c r="Q37" s="673">
        <v>0</v>
      </c>
      <c r="R37" s="673">
        <v>0</v>
      </c>
      <c r="S37" s="656">
        <f t="shared" si="2"/>
        <v>255433.17</v>
      </c>
      <c r="T37" s="610">
        <f t="shared" ca="1" si="6"/>
        <v>-1407</v>
      </c>
      <c r="U37" s="611">
        <v>42975</v>
      </c>
      <c r="V37" s="615" t="s">
        <v>1975</v>
      </c>
      <c r="W37" s="612" t="s">
        <v>1310</v>
      </c>
      <c r="X37" s="613"/>
      <c r="Y37" s="613"/>
      <c r="Z37" s="613"/>
      <c r="AA37" s="613"/>
      <c r="AB37" s="613"/>
      <c r="AC37" s="616">
        <v>42915</v>
      </c>
      <c r="AD37" s="346">
        <v>41515</v>
      </c>
      <c r="AE37" s="614">
        <f t="shared" ca="1" si="5"/>
        <v>676</v>
      </c>
      <c r="AF37" s="339" t="s">
        <v>41</v>
      </c>
    </row>
    <row r="38" spans="1:32" s="541" customFormat="1" ht="38.25" x14ac:dyDescent="0.2">
      <c r="A38" s="339" t="s">
        <v>1753</v>
      </c>
      <c r="B38" s="619" t="s">
        <v>1384</v>
      </c>
      <c r="C38" s="339" t="s">
        <v>772</v>
      </c>
      <c r="D38" s="340" t="s">
        <v>1381</v>
      </c>
      <c r="E38" s="340" t="s">
        <v>1351</v>
      </c>
      <c r="F38" s="365">
        <v>256181.76000000001</v>
      </c>
      <c r="G38" s="673">
        <v>9951.57</v>
      </c>
      <c r="H38" s="673">
        <v>8779.9</v>
      </c>
      <c r="I38" s="673">
        <v>9428.3700000000008</v>
      </c>
      <c r="J38" s="673">
        <v>9144.11</v>
      </c>
      <c r="K38" s="673">
        <v>9763.83</v>
      </c>
      <c r="L38" s="673">
        <v>11287.38</v>
      </c>
      <c r="M38" s="673">
        <v>11555.65</v>
      </c>
      <c r="N38" s="673">
        <v>12939.87</v>
      </c>
      <c r="O38" s="673">
        <v>12902.27</v>
      </c>
      <c r="P38" s="673">
        <v>10455.39</v>
      </c>
      <c r="Q38" s="673">
        <v>9102.65</v>
      </c>
      <c r="R38" s="673">
        <v>9124.7900000000009</v>
      </c>
      <c r="S38" s="656">
        <f>SUM(G38:R38)</f>
        <v>124435.78</v>
      </c>
      <c r="T38" s="610">
        <f t="shared" ca="1" si="6"/>
        <v>-1009</v>
      </c>
      <c r="U38" s="611">
        <v>43373</v>
      </c>
      <c r="V38" s="345" t="s">
        <v>2083</v>
      </c>
      <c r="W38" s="612"/>
      <c r="X38" s="613"/>
      <c r="Y38" s="613"/>
      <c r="Z38" s="613"/>
      <c r="AA38" s="613"/>
      <c r="AB38" s="613"/>
      <c r="AC38" s="616"/>
      <c r="AD38" s="346">
        <v>41548</v>
      </c>
      <c r="AE38" s="614">
        <f ca="1">TODAY()-DATE(YEAR(AD38)+6,MONTH(AD38),DAY(AD38))</f>
        <v>643</v>
      </c>
      <c r="AF38" s="339" t="s">
        <v>96</v>
      </c>
    </row>
    <row r="39" spans="1:32" s="541" customFormat="1" ht="76.5" x14ac:dyDescent="0.2">
      <c r="A39" s="339" t="s">
        <v>1437</v>
      </c>
      <c r="B39" s="339"/>
      <c r="C39" s="649" t="s">
        <v>1432</v>
      </c>
      <c r="D39" s="650" t="s">
        <v>1433</v>
      </c>
      <c r="E39" s="340" t="s">
        <v>1624</v>
      </c>
      <c r="F39" s="651">
        <v>0</v>
      </c>
      <c r="G39" s="673">
        <v>0</v>
      </c>
      <c r="H39" s="673">
        <v>0</v>
      </c>
      <c r="I39" s="673">
        <v>0</v>
      </c>
      <c r="J39" s="673">
        <v>0</v>
      </c>
      <c r="K39" s="673">
        <v>0</v>
      </c>
      <c r="L39" s="673">
        <v>0</v>
      </c>
      <c r="M39" s="673">
        <v>0</v>
      </c>
      <c r="N39" s="673">
        <v>0</v>
      </c>
      <c r="O39" s="673">
        <v>0</v>
      </c>
      <c r="P39" s="673">
        <v>0</v>
      </c>
      <c r="Q39" s="673">
        <v>0</v>
      </c>
      <c r="R39" s="673">
        <v>0</v>
      </c>
      <c r="S39" s="656">
        <f t="shared" si="2"/>
        <v>0</v>
      </c>
      <c r="T39" s="610">
        <f t="shared" ca="1" si="6"/>
        <v>-1693</v>
      </c>
      <c r="U39" s="611">
        <v>42689</v>
      </c>
      <c r="V39" s="615" t="s">
        <v>1782</v>
      </c>
      <c r="W39" s="612"/>
      <c r="X39" s="613"/>
      <c r="Y39" s="613"/>
      <c r="Z39" s="613"/>
      <c r="AA39" s="613"/>
      <c r="AB39" s="613"/>
      <c r="AC39" s="616">
        <v>42646</v>
      </c>
      <c r="AD39" s="346">
        <v>41592</v>
      </c>
      <c r="AE39" s="614">
        <f t="shared" ca="1" si="5"/>
        <v>599</v>
      </c>
      <c r="AF39" s="339" t="s">
        <v>96</v>
      </c>
    </row>
    <row r="40" spans="1:32" s="541" customFormat="1" ht="51" x14ac:dyDescent="0.2">
      <c r="A40" s="339" t="s">
        <v>1639</v>
      </c>
      <c r="B40" s="339" t="s">
        <v>1444</v>
      </c>
      <c r="C40" s="339" t="s">
        <v>37</v>
      </c>
      <c r="D40" s="340" t="s">
        <v>2080</v>
      </c>
      <c r="E40" s="340" t="s">
        <v>1446</v>
      </c>
      <c r="F40" s="365">
        <v>40448.400000000001</v>
      </c>
      <c r="G40" s="673">
        <v>3310.04</v>
      </c>
      <c r="H40" s="673">
        <v>3310.04</v>
      </c>
      <c r="I40" s="673">
        <v>3310.04</v>
      </c>
      <c r="J40" s="673">
        <v>3310.04</v>
      </c>
      <c r="K40" s="673">
        <v>3310.04</v>
      </c>
      <c r="L40" s="673">
        <v>3310.04</v>
      </c>
      <c r="M40" s="673">
        <v>3310.04</v>
      </c>
      <c r="N40" s="673">
        <v>3310.04</v>
      </c>
      <c r="O40" s="673">
        <v>3310.04</v>
      </c>
      <c r="P40" s="673">
        <v>3310.04</v>
      </c>
      <c r="Q40" s="673">
        <v>3310.04</v>
      </c>
      <c r="R40" s="673">
        <v>3310.04</v>
      </c>
      <c r="S40" s="656">
        <f t="shared" si="2"/>
        <v>39720.480000000003</v>
      </c>
      <c r="T40" s="610">
        <f t="shared" ca="1" si="6"/>
        <v>-947</v>
      </c>
      <c r="U40" s="611">
        <v>43435</v>
      </c>
      <c r="V40" s="345" t="s">
        <v>2110</v>
      </c>
      <c r="W40" s="612"/>
      <c r="X40" s="613"/>
      <c r="Y40" s="613"/>
      <c r="Z40" s="613"/>
      <c r="AA40" s="613"/>
      <c r="AB40" s="613"/>
      <c r="AC40" s="616"/>
      <c r="AD40" s="346">
        <v>41610</v>
      </c>
      <c r="AE40" s="614">
        <f t="shared" ca="1" si="5"/>
        <v>581</v>
      </c>
      <c r="AF40" s="339" t="s">
        <v>96</v>
      </c>
    </row>
    <row r="41" spans="1:32" s="541" customFormat="1" ht="38.25" x14ac:dyDescent="0.2">
      <c r="A41" s="339" t="s">
        <v>1457</v>
      </c>
      <c r="B41" s="339" t="s">
        <v>2031</v>
      </c>
      <c r="C41" s="339" t="s">
        <v>56</v>
      </c>
      <c r="D41" s="340" t="s">
        <v>303</v>
      </c>
      <c r="E41" s="340" t="s">
        <v>2029</v>
      </c>
      <c r="F41" s="365">
        <v>45498.96</v>
      </c>
      <c r="G41" s="673">
        <f>5132.55</f>
        <v>5132.55</v>
      </c>
      <c r="H41" s="673">
        <v>5250.53</v>
      </c>
      <c r="I41" s="673">
        <v>5254.9</v>
      </c>
      <c r="J41" s="673">
        <v>5256.12</v>
      </c>
      <c r="K41" s="673">
        <f>1895.67+3373.26</f>
        <v>5268.93</v>
      </c>
      <c r="L41" s="673">
        <v>5274.06</v>
      </c>
      <c r="M41" s="673">
        <v>5699.73</v>
      </c>
      <c r="N41" s="673">
        <v>5700.09</v>
      </c>
      <c r="O41" s="673">
        <v>5696.21</v>
      </c>
      <c r="P41" s="673">
        <v>5694.83</v>
      </c>
      <c r="Q41" s="673">
        <v>5683.45</v>
      </c>
      <c r="R41" s="673">
        <f>3791.58+1889.32</f>
        <v>5680.9</v>
      </c>
      <c r="S41" s="656">
        <f t="shared" si="2"/>
        <v>65592.3</v>
      </c>
      <c r="T41" s="610">
        <f t="shared" ca="1" si="6"/>
        <v>-1105</v>
      </c>
      <c r="U41" s="611">
        <v>43277</v>
      </c>
      <c r="V41" s="345" t="s">
        <v>2030</v>
      </c>
      <c r="W41" s="612"/>
      <c r="X41" s="613"/>
      <c r="Y41" s="613"/>
      <c r="Z41" s="613"/>
      <c r="AA41" s="613"/>
      <c r="AB41" s="613"/>
      <c r="AC41" s="616"/>
      <c r="AD41" s="346">
        <v>41451</v>
      </c>
      <c r="AE41" s="614">
        <f t="shared" ca="1" si="5"/>
        <v>740</v>
      </c>
      <c r="AF41" s="339" t="s">
        <v>169</v>
      </c>
    </row>
    <row r="42" spans="1:32" s="308" customFormat="1" ht="51" x14ac:dyDescent="0.2">
      <c r="A42" s="646" t="s">
        <v>1703</v>
      </c>
      <c r="B42" s="339" t="s">
        <v>1428</v>
      </c>
      <c r="C42" s="339" t="s">
        <v>56</v>
      </c>
      <c r="D42" s="340" t="s">
        <v>212</v>
      </c>
      <c r="E42" s="340" t="s">
        <v>1514</v>
      </c>
      <c r="F42" s="365">
        <v>9715.92</v>
      </c>
      <c r="G42" s="673">
        <v>768.28</v>
      </c>
      <c r="H42" s="673">
        <v>768.28</v>
      </c>
      <c r="I42" s="673">
        <v>768.28</v>
      </c>
      <c r="J42" s="673">
        <v>809.66</v>
      </c>
      <c r="K42" s="673">
        <v>809.66</v>
      </c>
      <c r="L42" s="673">
        <v>809.66</v>
      </c>
      <c r="M42" s="673">
        <v>809.66</v>
      </c>
      <c r="N42" s="673">
        <v>809.66</v>
      </c>
      <c r="O42" s="673">
        <v>809.66</v>
      </c>
      <c r="P42" s="673">
        <v>809.66</v>
      </c>
      <c r="Q42" s="673">
        <v>809.66</v>
      </c>
      <c r="R42" s="673">
        <f>809.66+809.66</f>
        <v>1619.32</v>
      </c>
      <c r="S42" s="656">
        <f t="shared" si="2"/>
        <v>10401.439999999999</v>
      </c>
      <c r="T42" s="610">
        <f t="shared" ca="1" si="6"/>
        <v>-1193</v>
      </c>
      <c r="U42" s="611">
        <v>43189</v>
      </c>
      <c r="V42" s="345" t="s">
        <v>1999</v>
      </c>
      <c r="W42" s="612"/>
      <c r="X42" s="613"/>
      <c r="Y42" s="613"/>
      <c r="Z42" s="613"/>
      <c r="AA42" s="613"/>
      <c r="AB42" s="613"/>
      <c r="AC42" s="616"/>
      <c r="AD42" s="346">
        <v>41729</v>
      </c>
      <c r="AE42" s="614">
        <f t="shared" ca="1" si="5"/>
        <v>461</v>
      </c>
      <c r="AF42" s="339" t="s">
        <v>48</v>
      </c>
    </row>
    <row r="43" spans="1:32" s="311" customFormat="1" ht="76.5" x14ac:dyDescent="0.2">
      <c r="A43" s="675" t="s">
        <v>1704</v>
      </c>
      <c r="B43" s="339"/>
      <c r="C43" s="339"/>
      <c r="D43" s="340" t="s">
        <v>1661</v>
      </c>
      <c r="E43" s="340" t="s">
        <v>1516</v>
      </c>
      <c r="F43" s="365">
        <v>121050</v>
      </c>
      <c r="G43" s="673">
        <v>0</v>
      </c>
      <c r="H43" s="673">
        <v>1205.71</v>
      </c>
      <c r="I43" s="673">
        <f>719.04+4053.3+546.72</f>
        <v>5319.06</v>
      </c>
      <c r="J43" s="673">
        <f>1112.26+1254.71+434.81+3038.87+3109.6</f>
        <v>8950.25</v>
      </c>
      <c r="K43" s="673">
        <f>473.45+1323.37</f>
        <v>1796.82</v>
      </c>
      <c r="L43" s="673">
        <f>1867+1757.19+2237+3267.86+722.14+703.45+2023.51+4223.37+660.45+1875.25</f>
        <v>19337.22</v>
      </c>
      <c r="M43" s="673">
        <v>1384.57</v>
      </c>
      <c r="N43" s="673">
        <f>1324.34+3237.46</f>
        <v>4561.8</v>
      </c>
      <c r="O43" s="673">
        <f>770.75+2140.7+243.07</f>
        <v>3154.52</v>
      </c>
      <c r="P43" s="673">
        <v>2912.98</v>
      </c>
      <c r="Q43" s="673">
        <v>2057.59</v>
      </c>
      <c r="R43" s="673">
        <f>401.4+2513.53+2208.87</f>
        <v>5123.8</v>
      </c>
      <c r="S43" s="656">
        <f t="shared" si="2"/>
        <v>55804.320000000007</v>
      </c>
      <c r="T43" s="610">
        <f t="shared" ca="1" si="6"/>
        <v>-1196</v>
      </c>
      <c r="U43" s="611">
        <v>43186</v>
      </c>
      <c r="V43" s="345" t="s">
        <v>1997</v>
      </c>
      <c r="W43" s="612"/>
      <c r="X43" s="613"/>
      <c r="Y43" s="613"/>
      <c r="Z43" s="613"/>
      <c r="AA43" s="613"/>
      <c r="AB43" s="613"/>
      <c r="AC43" s="616"/>
      <c r="AD43" s="346">
        <v>41726</v>
      </c>
      <c r="AE43" s="614">
        <f t="shared" ca="1" si="5"/>
        <v>464</v>
      </c>
      <c r="AF43" s="339" t="s">
        <v>48</v>
      </c>
    </row>
    <row r="44" spans="1:32" s="308" customFormat="1" ht="38.25" customHeight="1" x14ac:dyDescent="0.2">
      <c r="A44" s="646" t="s">
        <v>1546</v>
      </c>
      <c r="B44" s="339" t="s">
        <v>1522</v>
      </c>
      <c r="C44" s="339"/>
      <c r="D44" s="340" t="s">
        <v>1523</v>
      </c>
      <c r="E44" s="340" t="s">
        <v>1524</v>
      </c>
      <c r="F44" s="653">
        <v>0</v>
      </c>
      <c r="G44" s="673">
        <v>0</v>
      </c>
      <c r="H44" s="673">
        <v>0</v>
      </c>
      <c r="I44" s="673">
        <v>0</v>
      </c>
      <c r="J44" s="673">
        <v>0</v>
      </c>
      <c r="K44" s="673">
        <v>0</v>
      </c>
      <c r="L44" s="673">
        <v>0</v>
      </c>
      <c r="M44" s="673">
        <v>0</v>
      </c>
      <c r="N44" s="673">
        <v>0</v>
      </c>
      <c r="O44" s="673">
        <v>0</v>
      </c>
      <c r="P44" s="673">
        <v>0</v>
      </c>
      <c r="Q44" s="673">
        <v>0</v>
      </c>
      <c r="R44" s="673">
        <v>0</v>
      </c>
      <c r="S44" s="656">
        <f t="shared" si="2"/>
        <v>0</v>
      </c>
      <c r="T44" s="610">
        <f t="shared" ca="1" si="6"/>
        <v>-1178</v>
      </c>
      <c r="U44" s="611">
        <v>43204</v>
      </c>
      <c r="V44" s="345" t="s">
        <v>2016</v>
      </c>
      <c r="W44" s="612"/>
      <c r="X44" s="613"/>
      <c r="Y44" s="613"/>
      <c r="Z44" s="613"/>
      <c r="AA44" s="613"/>
      <c r="AB44" s="613"/>
      <c r="AC44" s="616"/>
      <c r="AD44" s="346">
        <v>41743</v>
      </c>
      <c r="AE44" s="614">
        <f t="shared" ca="1" si="5"/>
        <v>447</v>
      </c>
      <c r="AF44" s="339" t="s">
        <v>649</v>
      </c>
    </row>
    <row r="45" spans="1:32" s="311" customFormat="1" ht="51" x14ac:dyDescent="0.2">
      <c r="A45" s="675" t="s">
        <v>1552</v>
      </c>
      <c r="B45" s="339" t="s">
        <v>2037</v>
      </c>
      <c r="C45" s="339" t="s">
        <v>56</v>
      </c>
      <c r="D45" s="340" t="s">
        <v>62</v>
      </c>
      <c r="E45" s="340" t="s">
        <v>1553</v>
      </c>
      <c r="F45" s="365">
        <v>10581.96</v>
      </c>
      <c r="G45" s="673">
        <v>848.02</v>
      </c>
      <c r="H45" s="673">
        <v>848.02</v>
      </c>
      <c r="I45" s="673">
        <f>117.83+848.02</f>
        <v>965.85</v>
      </c>
      <c r="J45" s="673">
        <v>848.02</v>
      </c>
      <c r="K45" s="673">
        <v>848.02</v>
      </c>
      <c r="L45" s="673">
        <v>848.02</v>
      </c>
      <c r="M45" s="673">
        <v>848.02</v>
      </c>
      <c r="N45" s="673">
        <v>881.83</v>
      </c>
      <c r="O45" s="673">
        <v>881.83</v>
      </c>
      <c r="P45" s="673">
        <v>881.83</v>
      </c>
      <c r="Q45" s="673">
        <v>881.83</v>
      </c>
      <c r="R45" s="673">
        <v>881.83</v>
      </c>
      <c r="S45" s="656">
        <f t="shared" si="2"/>
        <v>10463.120000000001</v>
      </c>
      <c r="T45" s="610">
        <f t="shared" ca="1" si="6"/>
        <v>-1111</v>
      </c>
      <c r="U45" s="611">
        <v>43271</v>
      </c>
      <c r="V45" s="345" t="s">
        <v>2038</v>
      </c>
      <c r="W45" s="612"/>
      <c r="X45" s="613"/>
      <c r="Y45" s="613"/>
      <c r="Z45" s="613"/>
      <c r="AA45" s="613"/>
      <c r="AB45" s="613"/>
      <c r="AC45" s="616"/>
      <c r="AD45" s="346">
        <v>41811</v>
      </c>
      <c r="AE45" s="614">
        <f t="shared" ca="1" si="5"/>
        <v>379</v>
      </c>
      <c r="AF45" s="339" t="s">
        <v>48</v>
      </c>
    </row>
    <row r="46" spans="1:32" s="311" customFormat="1" ht="38.25" x14ac:dyDescent="0.2">
      <c r="A46" s="646" t="s">
        <v>1558</v>
      </c>
      <c r="B46" s="339" t="s">
        <v>1700</v>
      </c>
      <c r="C46" s="339" t="s">
        <v>617</v>
      </c>
      <c r="D46" s="340" t="s">
        <v>618</v>
      </c>
      <c r="E46" s="340" t="s">
        <v>1559</v>
      </c>
      <c r="F46" s="365">
        <v>69983.28</v>
      </c>
      <c r="G46" s="673">
        <v>5895.01</v>
      </c>
      <c r="H46" s="673">
        <v>5381</v>
      </c>
      <c r="I46" s="673">
        <v>6841.55</v>
      </c>
      <c r="J46" s="673">
        <v>5435.88</v>
      </c>
      <c r="K46" s="673">
        <v>5435.39</v>
      </c>
      <c r="L46" s="673">
        <v>6871.95</v>
      </c>
      <c r="M46" s="673">
        <v>5893.93</v>
      </c>
      <c r="N46" s="673">
        <v>5381</v>
      </c>
      <c r="O46" s="673">
        <v>7569.13</v>
      </c>
      <c r="P46" s="673">
        <v>5960.51</v>
      </c>
      <c r="Q46" s="673">
        <v>6079.28</v>
      </c>
      <c r="R46" s="673">
        <v>6392.91</v>
      </c>
      <c r="S46" s="656">
        <f t="shared" si="2"/>
        <v>73137.540000000008</v>
      </c>
      <c r="T46" s="610">
        <f t="shared" ca="1" si="6"/>
        <v>-1102</v>
      </c>
      <c r="U46" s="611">
        <v>43280</v>
      </c>
      <c r="V46" s="345" t="s">
        <v>2046</v>
      </c>
      <c r="W46" s="612"/>
      <c r="X46" s="613"/>
      <c r="Y46" s="613"/>
      <c r="Z46" s="613"/>
      <c r="AA46" s="613"/>
      <c r="AB46" s="613"/>
      <c r="AC46" s="616">
        <v>42852</v>
      </c>
      <c r="AD46" s="346">
        <v>41820</v>
      </c>
      <c r="AE46" s="614">
        <f t="shared" ca="1" si="5"/>
        <v>370</v>
      </c>
      <c r="AF46" s="339" t="s">
        <v>41</v>
      </c>
    </row>
    <row r="47" spans="1:32" s="311" customFormat="1" ht="38.25" x14ac:dyDescent="0.2">
      <c r="A47" s="675" t="s">
        <v>1569</v>
      </c>
      <c r="B47" s="339" t="s">
        <v>1428</v>
      </c>
      <c r="C47" s="339" t="s">
        <v>56</v>
      </c>
      <c r="D47" s="340" t="s">
        <v>1487</v>
      </c>
      <c r="E47" s="340" t="s">
        <v>1570</v>
      </c>
      <c r="F47" s="365">
        <v>9336</v>
      </c>
      <c r="G47" s="673">
        <v>778</v>
      </c>
      <c r="H47" s="673">
        <v>778</v>
      </c>
      <c r="I47" s="673">
        <v>778</v>
      </c>
      <c r="J47" s="673">
        <v>778</v>
      </c>
      <c r="K47" s="673">
        <v>778</v>
      </c>
      <c r="L47" s="673">
        <v>778</v>
      </c>
      <c r="M47" s="673">
        <v>778</v>
      </c>
      <c r="N47" s="673">
        <v>778</v>
      </c>
      <c r="O47" s="673">
        <v>778</v>
      </c>
      <c r="P47" s="673">
        <v>0</v>
      </c>
      <c r="Q47" s="673">
        <v>0</v>
      </c>
      <c r="R47" s="673">
        <v>0</v>
      </c>
      <c r="S47" s="656">
        <f t="shared" si="2"/>
        <v>7002</v>
      </c>
      <c r="T47" s="610">
        <f t="shared" ca="1" si="6"/>
        <v>-1450</v>
      </c>
      <c r="U47" s="611">
        <v>42932</v>
      </c>
      <c r="V47" s="615" t="s">
        <v>1909</v>
      </c>
      <c r="W47" s="612"/>
      <c r="X47" s="613"/>
      <c r="Y47" s="613"/>
      <c r="Z47" s="613"/>
      <c r="AA47" s="613"/>
      <c r="AB47" s="613"/>
      <c r="AC47" s="616">
        <v>42873</v>
      </c>
      <c r="AD47" s="346">
        <v>41837</v>
      </c>
      <c r="AE47" s="614">
        <f t="shared" ca="1" si="5"/>
        <v>353</v>
      </c>
      <c r="AF47" s="339" t="s">
        <v>48</v>
      </c>
    </row>
    <row r="48" spans="1:32" s="308" customFormat="1" ht="51" x14ac:dyDescent="0.2">
      <c r="A48" s="646" t="s">
        <v>1581</v>
      </c>
      <c r="B48" s="339"/>
      <c r="C48" s="339"/>
      <c r="D48" s="340" t="s">
        <v>586</v>
      </c>
      <c r="E48" s="340" t="s">
        <v>2054</v>
      </c>
      <c r="F48" s="365">
        <v>1564203</v>
      </c>
      <c r="G48" s="673">
        <f>368.7+130350.24</f>
        <v>130718.94</v>
      </c>
      <c r="H48" s="673">
        <f>65463.33+28827.46</f>
        <v>94290.790000000008</v>
      </c>
      <c r="I48" s="673">
        <f>23813.99+131603.61</f>
        <v>155417.59999999998</v>
      </c>
      <c r="J48" s="673">
        <v>124083.4</v>
      </c>
      <c r="K48" s="673">
        <v>124083.4</v>
      </c>
      <c r="L48" s="673">
        <v>124083.4</v>
      </c>
      <c r="M48" s="673">
        <v>130500.49</v>
      </c>
      <c r="N48" s="673">
        <v>127142.59</v>
      </c>
      <c r="O48" s="673">
        <v>127142.59</v>
      </c>
      <c r="P48" s="673">
        <v>136309.03</v>
      </c>
      <c r="Q48" s="673">
        <v>130647.09</v>
      </c>
      <c r="R48" s="673">
        <f>130647.09+57899.81+13260</f>
        <v>201806.9</v>
      </c>
      <c r="S48" s="656">
        <f t="shared" si="2"/>
        <v>1606226.22</v>
      </c>
      <c r="T48" s="610">
        <f t="shared" ca="1" si="6"/>
        <v>-1056</v>
      </c>
      <c r="U48" s="611">
        <v>43326</v>
      </c>
      <c r="V48" s="345" t="s">
        <v>2084</v>
      </c>
      <c r="W48" s="612"/>
      <c r="X48" s="613"/>
      <c r="Y48" s="613"/>
      <c r="Z48" s="613"/>
      <c r="AA48" s="613"/>
      <c r="AB48" s="613"/>
      <c r="AC48" s="616"/>
      <c r="AD48" s="346">
        <v>41897</v>
      </c>
      <c r="AE48" s="614">
        <f t="shared" ca="1" si="5"/>
        <v>293</v>
      </c>
      <c r="AF48" s="339" t="s">
        <v>96</v>
      </c>
    </row>
    <row r="49" spans="1:32" s="541" customFormat="1" ht="38.25" x14ac:dyDescent="0.2">
      <c r="A49" s="646" t="s">
        <v>1592</v>
      </c>
      <c r="B49" s="339" t="s">
        <v>1593</v>
      </c>
      <c r="C49" s="339"/>
      <c r="D49" s="340" t="s">
        <v>1594</v>
      </c>
      <c r="E49" s="340" t="s">
        <v>1702</v>
      </c>
      <c r="F49" s="365">
        <v>23688</v>
      </c>
      <c r="G49" s="673">
        <v>0</v>
      </c>
      <c r="H49" s="673">
        <v>0</v>
      </c>
      <c r="I49" s="673">
        <v>0</v>
      </c>
      <c r="J49" s="673">
        <v>0</v>
      </c>
      <c r="K49" s="673">
        <v>0</v>
      </c>
      <c r="L49" s="673">
        <v>0</v>
      </c>
      <c r="M49" s="673">
        <v>0</v>
      </c>
      <c r="N49" s="673">
        <v>0</v>
      </c>
      <c r="O49" s="673">
        <v>0</v>
      </c>
      <c r="P49" s="673">
        <v>0</v>
      </c>
      <c r="Q49" s="673">
        <v>0</v>
      </c>
      <c r="R49" s="673">
        <v>0</v>
      </c>
      <c r="S49" s="656">
        <f t="shared" si="2"/>
        <v>0</v>
      </c>
      <c r="T49" s="610">
        <f t="shared" ca="1" si="6"/>
        <v>-1369</v>
      </c>
      <c r="U49" s="611">
        <v>43013</v>
      </c>
      <c r="V49" s="615" t="s">
        <v>1596</v>
      </c>
      <c r="W49" s="612"/>
      <c r="X49" s="613"/>
      <c r="Y49" s="613"/>
      <c r="Z49" s="613"/>
      <c r="AA49" s="613"/>
      <c r="AB49" s="613"/>
      <c r="AC49" s="616"/>
      <c r="AD49" s="346">
        <v>41918</v>
      </c>
      <c r="AE49" s="614">
        <f t="shared" ca="1" si="5"/>
        <v>272</v>
      </c>
      <c r="AF49" s="339" t="s">
        <v>41</v>
      </c>
    </row>
    <row r="50" spans="1:32" s="541" customFormat="1" ht="42" customHeight="1" x14ac:dyDescent="0.2">
      <c r="A50" s="646" t="s">
        <v>1600</v>
      </c>
      <c r="B50" s="339"/>
      <c r="C50" s="339"/>
      <c r="D50" s="340" t="s">
        <v>1601</v>
      </c>
      <c r="E50" s="340" t="s">
        <v>1602</v>
      </c>
      <c r="F50" s="365">
        <v>10160</v>
      </c>
      <c r="G50" s="673">
        <v>755.16</v>
      </c>
      <c r="H50" s="673">
        <v>770.11</v>
      </c>
      <c r="I50" s="673">
        <v>734.12</v>
      </c>
      <c r="J50" s="673">
        <v>734.12</v>
      </c>
      <c r="K50" s="673">
        <v>734.12</v>
      </c>
      <c r="L50" s="673">
        <v>734.12</v>
      </c>
      <c r="M50" s="673">
        <v>748.51</v>
      </c>
      <c r="N50" s="673">
        <v>748.51</v>
      </c>
      <c r="O50" s="673">
        <v>748.51</v>
      </c>
      <c r="P50" s="673">
        <v>755.71</v>
      </c>
      <c r="Q50" s="673">
        <v>0</v>
      </c>
      <c r="R50" s="673">
        <f>755.71+748.51</f>
        <v>1504.22</v>
      </c>
      <c r="S50" s="656">
        <f t="shared" si="2"/>
        <v>8967.2100000000009</v>
      </c>
      <c r="T50" s="610">
        <f t="shared" ca="1" si="6"/>
        <v>-998</v>
      </c>
      <c r="U50" s="611">
        <v>43384</v>
      </c>
      <c r="V50" s="345" t="s">
        <v>2094</v>
      </c>
      <c r="W50" s="654"/>
      <c r="X50" s="613"/>
      <c r="Y50" s="613"/>
      <c r="Z50" s="613"/>
      <c r="AA50" s="613"/>
      <c r="AB50" s="613"/>
      <c r="AC50" s="616"/>
      <c r="AD50" s="346">
        <v>41913</v>
      </c>
      <c r="AE50" s="614">
        <f t="shared" ca="1" si="5"/>
        <v>277</v>
      </c>
      <c r="AF50" s="339" t="s">
        <v>96</v>
      </c>
    </row>
    <row r="51" spans="1:32" s="311" customFormat="1" ht="25.5" x14ac:dyDescent="0.2">
      <c r="A51" s="675" t="s">
        <v>1614</v>
      </c>
      <c r="B51" s="339"/>
      <c r="C51" s="339"/>
      <c r="D51" s="340" t="s">
        <v>1615</v>
      </c>
      <c r="E51" s="340" t="s">
        <v>1616</v>
      </c>
      <c r="F51" s="365">
        <v>61680</v>
      </c>
      <c r="G51" s="673">
        <v>0</v>
      </c>
      <c r="H51" s="673">
        <v>0</v>
      </c>
      <c r="I51" s="673">
        <v>0</v>
      </c>
      <c r="J51" s="673">
        <v>0</v>
      </c>
      <c r="K51" s="673">
        <v>0</v>
      </c>
      <c r="L51" s="673">
        <v>0</v>
      </c>
      <c r="M51" s="673">
        <v>0</v>
      </c>
      <c r="N51" s="673">
        <v>0</v>
      </c>
      <c r="O51" s="673">
        <v>0</v>
      </c>
      <c r="P51" s="673">
        <v>0</v>
      </c>
      <c r="Q51" s="673">
        <v>0</v>
      </c>
      <c r="R51" s="673">
        <v>0</v>
      </c>
      <c r="S51" s="656">
        <f t="shared" si="2"/>
        <v>0</v>
      </c>
      <c r="T51" s="610">
        <f t="shared" ca="1" si="6"/>
        <v>-962</v>
      </c>
      <c r="U51" s="611">
        <v>43420</v>
      </c>
      <c r="V51" s="615" t="s">
        <v>1617</v>
      </c>
      <c r="W51" s="612"/>
      <c r="X51" s="613"/>
      <c r="Y51" s="613"/>
      <c r="Z51" s="613"/>
      <c r="AA51" s="613"/>
      <c r="AB51" s="613"/>
      <c r="AC51" s="616"/>
      <c r="AD51" s="346">
        <v>41961</v>
      </c>
      <c r="AE51" s="614">
        <f t="shared" ca="1" si="5"/>
        <v>229</v>
      </c>
      <c r="AF51" s="339" t="s">
        <v>41</v>
      </c>
    </row>
    <row r="52" spans="1:32" s="311" customFormat="1" ht="25.5" x14ac:dyDescent="0.2">
      <c r="A52" s="675" t="s">
        <v>1631</v>
      </c>
      <c r="B52" s="339" t="s">
        <v>1701</v>
      </c>
      <c r="C52" s="339" t="s">
        <v>617</v>
      </c>
      <c r="D52" s="340" t="s">
        <v>1632</v>
      </c>
      <c r="E52" s="340" t="s">
        <v>1836</v>
      </c>
      <c r="F52" s="365">
        <v>60063.96</v>
      </c>
      <c r="G52" s="673">
        <f>1701.32+3170.03</f>
        <v>4871.3500000000004</v>
      </c>
      <c r="H52" s="673">
        <v>5005.32</v>
      </c>
      <c r="I52" s="673">
        <v>5005.32</v>
      </c>
      <c r="J52" s="673">
        <v>5005.32</v>
      </c>
      <c r="K52" s="673">
        <v>5005.32</v>
      </c>
      <c r="L52" s="673">
        <v>5005.32</v>
      </c>
      <c r="M52" s="673">
        <v>0</v>
      </c>
      <c r="N52" s="673">
        <f>5005.32+5005.32</f>
        <v>10010.64</v>
      </c>
      <c r="O52" s="673">
        <v>5005.32</v>
      </c>
      <c r="P52" s="673">
        <v>5005.32</v>
      </c>
      <c r="Q52" s="673">
        <v>5005.32</v>
      </c>
      <c r="R52" s="673"/>
      <c r="S52" s="656">
        <f t="shared" si="2"/>
        <v>54924.549999999996</v>
      </c>
      <c r="T52" s="610">
        <f t="shared" ca="1" si="6"/>
        <v>-1302</v>
      </c>
      <c r="U52" s="611">
        <v>43080</v>
      </c>
      <c r="V52" s="345" t="s">
        <v>1951</v>
      </c>
      <c r="W52" s="612"/>
      <c r="X52" s="613"/>
      <c r="Y52" s="613"/>
      <c r="Z52" s="613"/>
      <c r="AA52" s="613"/>
      <c r="AB52" s="613"/>
      <c r="AC52" s="616">
        <v>43027</v>
      </c>
      <c r="AD52" s="346">
        <v>41985</v>
      </c>
      <c r="AE52" s="614">
        <f t="shared" ca="1" si="5"/>
        <v>205</v>
      </c>
      <c r="AF52" s="339" t="s">
        <v>48</v>
      </c>
    </row>
    <row r="53" spans="1:32" s="311" customFormat="1" ht="25.5" x14ac:dyDescent="0.2">
      <c r="A53" s="675" t="s">
        <v>1631</v>
      </c>
      <c r="B53" s="339" t="s">
        <v>1700</v>
      </c>
      <c r="C53" s="339" t="s">
        <v>617</v>
      </c>
      <c r="D53" s="340" t="s">
        <v>1635</v>
      </c>
      <c r="E53" s="340" t="s">
        <v>1636</v>
      </c>
      <c r="F53" s="365">
        <v>30199.8</v>
      </c>
      <c r="G53" s="673">
        <f>6960+4330.66</f>
        <v>11290.66</v>
      </c>
      <c r="H53" s="673">
        <v>2320</v>
      </c>
      <c r="I53" s="673">
        <v>2320</v>
      </c>
      <c r="J53" s="673">
        <v>2320</v>
      </c>
      <c r="K53" s="673">
        <v>0</v>
      </c>
      <c r="L53" s="673">
        <f>2320+2320</f>
        <v>4640</v>
      </c>
      <c r="M53" s="673">
        <v>2320</v>
      </c>
      <c r="N53" s="673">
        <v>2320</v>
      </c>
      <c r="O53" s="673">
        <v>2320</v>
      </c>
      <c r="P53" s="673">
        <v>2320</v>
      </c>
      <c r="Q53" s="673">
        <v>2320</v>
      </c>
      <c r="R53" s="673">
        <v>2320</v>
      </c>
      <c r="S53" s="656">
        <f t="shared" si="2"/>
        <v>36810.660000000003</v>
      </c>
      <c r="T53" s="610">
        <f t="shared" ca="1" si="6"/>
        <v>-1302</v>
      </c>
      <c r="U53" s="611">
        <v>43080</v>
      </c>
      <c r="V53" s="345" t="s">
        <v>2088</v>
      </c>
      <c r="W53" s="612"/>
      <c r="X53" s="613"/>
      <c r="Y53" s="613"/>
      <c r="Z53" s="613"/>
      <c r="AA53" s="613"/>
      <c r="AB53" s="613"/>
      <c r="AC53" s="616">
        <v>42660</v>
      </c>
      <c r="AD53" s="346">
        <v>41985</v>
      </c>
      <c r="AE53" s="614">
        <f t="shared" ca="1" si="5"/>
        <v>205</v>
      </c>
      <c r="AF53" s="339" t="s">
        <v>48</v>
      </c>
    </row>
    <row r="54" spans="1:32" s="311" customFormat="1" ht="38.25" x14ac:dyDescent="0.2">
      <c r="A54" s="675" t="s">
        <v>1645</v>
      </c>
      <c r="B54" s="339" t="s">
        <v>1608</v>
      </c>
      <c r="C54" s="339" t="s">
        <v>56</v>
      </c>
      <c r="D54" s="340" t="s">
        <v>1646</v>
      </c>
      <c r="E54" s="340" t="s">
        <v>1647</v>
      </c>
      <c r="F54" s="365">
        <v>13399.2</v>
      </c>
      <c r="G54" s="673">
        <v>0</v>
      </c>
      <c r="H54" s="673">
        <v>0</v>
      </c>
      <c r="I54" s="673">
        <v>0</v>
      </c>
      <c r="J54" s="673">
        <v>0</v>
      </c>
      <c r="K54" s="673">
        <v>0</v>
      </c>
      <c r="L54" s="673">
        <v>0</v>
      </c>
      <c r="M54" s="673">
        <v>0</v>
      </c>
      <c r="N54" s="673">
        <v>0</v>
      </c>
      <c r="O54" s="673">
        <v>0</v>
      </c>
      <c r="P54" s="673">
        <v>0</v>
      </c>
      <c r="Q54" s="673">
        <v>0</v>
      </c>
      <c r="R54" s="673">
        <v>0</v>
      </c>
      <c r="S54" s="656">
        <f t="shared" si="2"/>
        <v>0</v>
      </c>
      <c r="T54" s="610">
        <f t="shared" ca="1" si="6"/>
        <v>-538</v>
      </c>
      <c r="U54" s="611">
        <v>43844</v>
      </c>
      <c r="V54" s="615" t="s">
        <v>1648</v>
      </c>
      <c r="W54" s="612"/>
      <c r="X54" s="613"/>
      <c r="Y54" s="613"/>
      <c r="Z54" s="613"/>
      <c r="AA54" s="613"/>
      <c r="AB54" s="613"/>
      <c r="AC54" s="616"/>
      <c r="AD54" s="346">
        <v>42019</v>
      </c>
      <c r="AE54" s="614">
        <f t="shared" ca="1" si="5"/>
        <v>171</v>
      </c>
      <c r="AF54" s="339" t="s">
        <v>48</v>
      </c>
    </row>
    <row r="55" spans="1:32" s="311" customFormat="1" ht="48" customHeight="1" x14ac:dyDescent="0.2">
      <c r="A55" s="675" t="s">
        <v>1651</v>
      </c>
      <c r="B55" s="339"/>
      <c r="C55" s="339"/>
      <c r="D55" s="340" t="s">
        <v>1654</v>
      </c>
      <c r="E55" s="340" t="s">
        <v>1652</v>
      </c>
      <c r="F55" s="365">
        <v>41899.019999999997</v>
      </c>
      <c r="G55" s="673">
        <v>0</v>
      </c>
      <c r="H55" s="673">
        <v>0</v>
      </c>
      <c r="I55" s="673">
        <f>74100</f>
        <v>74100</v>
      </c>
      <c r="J55" s="673">
        <f>3445.65+1111.5</f>
        <v>4557.1499999999996</v>
      </c>
      <c r="K55" s="673">
        <v>0</v>
      </c>
      <c r="L55" s="673">
        <v>0</v>
      </c>
      <c r="M55" s="673">
        <v>0</v>
      </c>
      <c r="N55" s="673">
        <v>0</v>
      </c>
      <c r="O55" s="673">
        <v>0</v>
      </c>
      <c r="P55" s="673">
        <v>0</v>
      </c>
      <c r="Q55" s="673">
        <v>0</v>
      </c>
      <c r="R55" s="673">
        <v>0</v>
      </c>
      <c r="S55" s="656">
        <f t="shared" si="2"/>
        <v>78657.149999999994</v>
      </c>
      <c r="T55" s="610">
        <f t="shared" ca="1" si="6"/>
        <v>-1225</v>
      </c>
      <c r="U55" s="611">
        <v>43157</v>
      </c>
      <c r="V55" s="615" t="s">
        <v>1653</v>
      </c>
      <c r="W55" s="612"/>
      <c r="X55" s="613"/>
      <c r="Y55" s="613"/>
      <c r="Z55" s="613"/>
      <c r="AA55" s="613"/>
      <c r="AB55" s="613"/>
      <c r="AC55" s="616"/>
      <c r="AD55" s="346">
        <v>42062</v>
      </c>
      <c r="AE55" s="614">
        <f t="shared" ca="1" si="5"/>
        <v>128</v>
      </c>
      <c r="AF55" s="339" t="s">
        <v>41</v>
      </c>
    </row>
    <row r="56" spans="1:32" s="311" customFormat="1" ht="38.25" x14ac:dyDescent="0.2">
      <c r="A56" s="675" t="s">
        <v>1891</v>
      </c>
      <c r="B56" s="339" t="s">
        <v>2032</v>
      </c>
      <c r="C56" s="339" t="s">
        <v>56</v>
      </c>
      <c r="D56" s="340" t="s">
        <v>580</v>
      </c>
      <c r="E56" s="340" t="s">
        <v>1892</v>
      </c>
      <c r="F56" s="700">
        <v>3282.24</v>
      </c>
      <c r="G56" s="673">
        <f>118.8+274</f>
        <v>392.8</v>
      </c>
      <c r="H56" s="673">
        <v>274</v>
      </c>
      <c r="I56" s="673">
        <v>274</v>
      </c>
      <c r="J56" s="673">
        <v>274</v>
      </c>
      <c r="K56" s="673">
        <v>274</v>
      </c>
      <c r="L56" s="673">
        <v>274</v>
      </c>
      <c r="M56" s="673">
        <v>274</v>
      </c>
      <c r="N56" s="673">
        <v>274</v>
      </c>
      <c r="O56" s="673">
        <v>274</v>
      </c>
      <c r="P56" s="673">
        <v>274</v>
      </c>
      <c r="Q56" s="673">
        <f>274+175</f>
        <v>449</v>
      </c>
      <c r="R56" s="673">
        <v>274</v>
      </c>
      <c r="S56" s="656">
        <f t="shared" ref="S56:S99" si="7">SUM(G56:R56)</f>
        <v>3581.8</v>
      </c>
      <c r="T56" s="610">
        <f t="shared" ca="1" si="6"/>
        <v>-1113</v>
      </c>
      <c r="U56" s="611">
        <v>43269</v>
      </c>
      <c r="V56" s="345" t="s">
        <v>2033</v>
      </c>
      <c r="W56" s="612"/>
      <c r="X56" s="613"/>
      <c r="Y56" s="613"/>
      <c r="Z56" s="613"/>
      <c r="AA56" s="613"/>
      <c r="AB56" s="613"/>
      <c r="AC56" s="616"/>
      <c r="AD56" s="346">
        <v>42174</v>
      </c>
      <c r="AE56" s="614">
        <f t="shared" ca="1" si="5"/>
        <v>16</v>
      </c>
      <c r="AF56" s="339" t="s">
        <v>48</v>
      </c>
    </row>
    <row r="57" spans="1:32" s="311" customFormat="1" ht="25.5" x14ac:dyDescent="0.2">
      <c r="A57" s="675" t="s">
        <v>1722</v>
      </c>
      <c r="B57" s="339" t="s">
        <v>1608</v>
      </c>
      <c r="C57" s="339" t="s">
        <v>56</v>
      </c>
      <c r="D57" s="340" t="s">
        <v>50</v>
      </c>
      <c r="E57" s="340" t="s">
        <v>1723</v>
      </c>
      <c r="F57" s="365">
        <v>14266.2</v>
      </c>
      <c r="G57" s="673">
        <f>96.95+1031.13</f>
        <v>1128.0800000000002</v>
      </c>
      <c r="H57" s="673">
        <f>96.95+1031.13</f>
        <v>1128.0800000000002</v>
      </c>
      <c r="I57" s="673">
        <f>96.95+1031.13</f>
        <v>1128.0800000000002</v>
      </c>
      <c r="J57" s="673">
        <f>96.95+1031.13</f>
        <v>1128.0800000000002</v>
      </c>
      <c r="K57" s="673">
        <f>96.95+1031.13</f>
        <v>1128.0800000000002</v>
      </c>
      <c r="L57" s="673">
        <f>103.55+1101.51</f>
        <v>1205.06</v>
      </c>
      <c r="M57" s="673">
        <f t="shared" ref="M57:R57" si="8">102.16+1086.69</f>
        <v>1188.8500000000001</v>
      </c>
      <c r="N57" s="673">
        <f t="shared" si="8"/>
        <v>1188.8500000000001</v>
      </c>
      <c r="O57" s="673">
        <f t="shared" si="8"/>
        <v>1188.8500000000001</v>
      </c>
      <c r="P57" s="673">
        <f t="shared" si="8"/>
        <v>1188.8500000000001</v>
      </c>
      <c r="Q57" s="673">
        <f t="shared" si="8"/>
        <v>1188.8500000000001</v>
      </c>
      <c r="R57" s="673">
        <f t="shared" si="8"/>
        <v>1188.8500000000001</v>
      </c>
      <c r="S57" s="656">
        <f t="shared" si="7"/>
        <v>13978.560000000003</v>
      </c>
      <c r="T57" s="610">
        <f t="shared" ca="1" si="6"/>
        <v>-1170</v>
      </c>
      <c r="U57" s="611">
        <v>43212</v>
      </c>
      <c r="V57" s="345" t="s">
        <v>2017</v>
      </c>
      <c r="W57" s="612"/>
      <c r="X57" s="613"/>
      <c r="Y57" s="613"/>
      <c r="Z57" s="613"/>
      <c r="AA57" s="613"/>
      <c r="AB57" s="613"/>
      <c r="AC57" s="616"/>
      <c r="AD57" s="346">
        <v>42117</v>
      </c>
      <c r="AE57" s="614">
        <f t="shared" ca="1" si="5"/>
        <v>73</v>
      </c>
      <c r="AF57" s="339" t="s">
        <v>54</v>
      </c>
    </row>
    <row r="58" spans="1:32" s="541" customFormat="1" ht="76.5" x14ac:dyDescent="0.2">
      <c r="A58" s="646" t="s">
        <v>1728</v>
      </c>
      <c r="B58" s="339" t="s">
        <v>1729</v>
      </c>
      <c r="C58" s="339"/>
      <c r="D58" s="340" t="s">
        <v>1730</v>
      </c>
      <c r="E58" s="340" t="s">
        <v>1731</v>
      </c>
      <c r="F58" s="365">
        <v>6000</v>
      </c>
      <c r="G58" s="673">
        <v>0</v>
      </c>
      <c r="H58" s="673">
        <v>0</v>
      </c>
      <c r="I58" s="673">
        <v>0</v>
      </c>
      <c r="J58" s="673">
        <v>0</v>
      </c>
      <c r="K58" s="673">
        <v>0</v>
      </c>
      <c r="L58" s="673">
        <v>0</v>
      </c>
      <c r="M58" s="673">
        <v>0</v>
      </c>
      <c r="N58" s="673">
        <v>0</v>
      </c>
      <c r="O58" s="673">
        <v>0</v>
      </c>
      <c r="P58" s="673">
        <v>564.89</v>
      </c>
      <c r="Q58" s="673">
        <v>0</v>
      </c>
      <c r="R58" s="673">
        <v>0</v>
      </c>
      <c r="S58" s="656">
        <f t="shared" si="7"/>
        <v>564.89</v>
      </c>
      <c r="T58" s="610">
        <f t="shared" ca="1" si="6"/>
        <v>-1749</v>
      </c>
      <c r="U58" s="611">
        <v>42633</v>
      </c>
      <c r="V58" s="615" t="s">
        <v>1732</v>
      </c>
      <c r="W58" s="612"/>
      <c r="X58" s="613"/>
      <c r="Y58" s="613"/>
      <c r="Z58" s="613"/>
      <c r="AA58" s="613"/>
      <c r="AB58" s="613"/>
      <c r="AC58" s="616">
        <v>42587</v>
      </c>
      <c r="AD58" s="346">
        <v>42268</v>
      </c>
      <c r="AE58" s="614">
        <f t="shared" ca="1" si="5"/>
        <v>-78</v>
      </c>
      <c r="AF58" s="339" t="s">
        <v>41</v>
      </c>
    </row>
    <row r="59" spans="1:32" s="311" customFormat="1" ht="38.25" x14ac:dyDescent="0.2">
      <c r="A59" s="675" t="s">
        <v>1733</v>
      </c>
      <c r="B59" s="339"/>
      <c r="C59" s="339" t="s">
        <v>1734</v>
      </c>
      <c r="D59" s="340" t="s">
        <v>1735</v>
      </c>
      <c r="E59" s="340" t="s">
        <v>1736</v>
      </c>
      <c r="F59" s="365">
        <v>529367.4</v>
      </c>
      <c r="G59" s="673">
        <v>41914.589999999997</v>
      </c>
      <c r="H59" s="673">
        <v>41914.589999999997</v>
      </c>
      <c r="I59" s="673">
        <v>41914.589999999997</v>
      </c>
      <c r="J59" s="673">
        <v>41914.589999999997</v>
      </c>
      <c r="K59" s="673">
        <v>46178.13</v>
      </c>
      <c r="L59" s="673">
        <v>44046.36</v>
      </c>
      <c r="M59" s="673">
        <v>44046.36</v>
      </c>
      <c r="N59" s="673">
        <v>44046.36</v>
      </c>
      <c r="O59" s="673">
        <v>44046.36</v>
      </c>
      <c r="P59" s="673">
        <v>44046.36</v>
      </c>
      <c r="Q59" s="673">
        <v>44046.36</v>
      </c>
      <c r="R59" s="673">
        <v>44046.36</v>
      </c>
      <c r="S59" s="656">
        <f t="shared" si="7"/>
        <v>522161.00999999989</v>
      </c>
      <c r="T59" s="610">
        <f t="shared" ca="1" si="6"/>
        <v>-1067</v>
      </c>
      <c r="U59" s="611">
        <v>43315</v>
      </c>
      <c r="V59" s="345" t="s">
        <v>2042</v>
      </c>
      <c r="W59" s="612"/>
      <c r="X59" s="613"/>
      <c r="Y59" s="613"/>
      <c r="Z59" s="613"/>
      <c r="AA59" s="613"/>
      <c r="AB59" s="613"/>
      <c r="AC59" s="616"/>
      <c r="AD59" s="346">
        <v>42219</v>
      </c>
      <c r="AE59" s="614">
        <f t="shared" ca="1" si="5"/>
        <v>-29</v>
      </c>
      <c r="AF59" s="339" t="s">
        <v>48</v>
      </c>
    </row>
    <row r="60" spans="1:32" s="541" customFormat="1" ht="38.25" x14ac:dyDescent="0.2">
      <c r="A60" s="646" t="s">
        <v>1756</v>
      </c>
      <c r="B60" s="339"/>
      <c r="C60" s="339" t="s">
        <v>1757</v>
      </c>
      <c r="D60" s="340" t="s">
        <v>1758</v>
      </c>
      <c r="E60" s="340" t="s">
        <v>1762</v>
      </c>
      <c r="F60" s="651">
        <v>0</v>
      </c>
      <c r="G60" s="673">
        <v>0</v>
      </c>
      <c r="H60" s="673">
        <v>0</v>
      </c>
      <c r="I60" s="673">
        <v>0</v>
      </c>
      <c r="J60" s="673">
        <v>0</v>
      </c>
      <c r="K60" s="673">
        <v>0</v>
      </c>
      <c r="L60" s="673">
        <v>0</v>
      </c>
      <c r="M60" s="673">
        <v>0</v>
      </c>
      <c r="N60" s="673">
        <v>0</v>
      </c>
      <c r="O60" s="673">
        <v>0</v>
      </c>
      <c r="P60" s="673">
        <v>0</v>
      </c>
      <c r="Q60" s="673">
        <v>0</v>
      </c>
      <c r="R60" s="673">
        <v>0</v>
      </c>
      <c r="S60" s="656">
        <f t="shared" si="7"/>
        <v>0</v>
      </c>
      <c r="T60" s="610">
        <f t="shared" ca="1" si="6"/>
        <v>-1355</v>
      </c>
      <c r="U60" s="611">
        <v>43027</v>
      </c>
      <c r="V60" s="615" t="s">
        <v>1950</v>
      </c>
      <c r="W60" s="612"/>
      <c r="X60" s="613"/>
      <c r="Y60" s="613"/>
      <c r="Z60" s="613"/>
      <c r="AA60" s="613"/>
      <c r="AB60" s="613"/>
      <c r="AC60" s="616">
        <v>42970</v>
      </c>
      <c r="AD60" s="346">
        <v>42297</v>
      </c>
      <c r="AE60" s="614">
        <f t="shared" ca="1" si="5"/>
        <v>-107</v>
      </c>
      <c r="AF60" s="339" t="s">
        <v>1763</v>
      </c>
    </row>
    <row r="61" spans="1:32" s="541" customFormat="1" ht="51" x14ac:dyDescent="0.2">
      <c r="A61" s="646" t="s">
        <v>1756</v>
      </c>
      <c r="B61" s="339"/>
      <c r="C61" s="339" t="s">
        <v>1757</v>
      </c>
      <c r="D61" s="340" t="s">
        <v>1761</v>
      </c>
      <c r="E61" s="340" t="s">
        <v>1762</v>
      </c>
      <c r="F61" s="651">
        <v>0</v>
      </c>
      <c r="G61" s="673">
        <v>0</v>
      </c>
      <c r="H61" s="673">
        <v>0</v>
      </c>
      <c r="I61" s="673">
        <v>0</v>
      </c>
      <c r="J61" s="673">
        <v>0</v>
      </c>
      <c r="K61" s="673">
        <v>0</v>
      </c>
      <c r="L61" s="673">
        <v>0</v>
      </c>
      <c r="M61" s="673">
        <v>0</v>
      </c>
      <c r="N61" s="673">
        <v>0</v>
      </c>
      <c r="O61" s="673">
        <v>0</v>
      </c>
      <c r="P61" s="673">
        <v>0</v>
      </c>
      <c r="Q61" s="673">
        <v>0</v>
      </c>
      <c r="R61" s="673">
        <v>0</v>
      </c>
      <c r="S61" s="656">
        <f t="shared" si="7"/>
        <v>0</v>
      </c>
      <c r="T61" s="610">
        <f t="shared" ca="1" si="6"/>
        <v>-1355</v>
      </c>
      <c r="U61" s="611">
        <v>43027</v>
      </c>
      <c r="V61" s="345" t="s">
        <v>1950</v>
      </c>
      <c r="W61" s="612"/>
      <c r="X61" s="613"/>
      <c r="Y61" s="613"/>
      <c r="Z61" s="613"/>
      <c r="AA61" s="613"/>
      <c r="AB61" s="613"/>
      <c r="AC61" s="616">
        <v>42970</v>
      </c>
      <c r="AD61" s="346">
        <v>42297</v>
      </c>
      <c r="AE61" s="614">
        <f t="shared" ca="1" si="5"/>
        <v>-107</v>
      </c>
      <c r="AF61" s="339" t="s">
        <v>1763</v>
      </c>
    </row>
    <row r="62" spans="1:32" s="541" customFormat="1" ht="38.25" x14ac:dyDescent="0.2">
      <c r="A62" s="646" t="s">
        <v>1770</v>
      </c>
      <c r="B62" s="339"/>
      <c r="C62" s="339" t="s">
        <v>1771</v>
      </c>
      <c r="D62" s="340" t="s">
        <v>44</v>
      </c>
      <c r="E62" s="340" t="s">
        <v>1772</v>
      </c>
      <c r="F62" s="365">
        <v>70048.36</v>
      </c>
      <c r="G62" s="673">
        <v>5282.99</v>
      </c>
      <c r="H62" s="673">
        <v>5282.99</v>
      </c>
      <c r="I62" s="673">
        <v>5282.99</v>
      </c>
      <c r="J62" s="673">
        <v>5282.99</v>
      </c>
      <c r="K62" s="673">
        <f>5282.99+2246.55</f>
        <v>7529.54</v>
      </c>
      <c r="L62" s="673">
        <v>5732.3</v>
      </c>
      <c r="M62" s="673">
        <v>5732.3</v>
      </c>
      <c r="N62" s="673">
        <v>5732.3</v>
      </c>
      <c r="O62" s="673">
        <v>5732.3</v>
      </c>
      <c r="P62" s="673">
        <v>5732.3</v>
      </c>
      <c r="Q62" s="673">
        <v>5732.3</v>
      </c>
      <c r="R62" s="673">
        <v>5732.3</v>
      </c>
      <c r="S62" s="656">
        <f t="shared" si="7"/>
        <v>68787.60000000002</v>
      </c>
      <c r="T62" s="610">
        <f t="shared" ca="1" si="6"/>
        <v>-949</v>
      </c>
      <c r="U62" s="611">
        <v>43433</v>
      </c>
      <c r="V62" s="345" t="s">
        <v>2112</v>
      </c>
      <c r="W62" s="612"/>
      <c r="X62" s="613"/>
      <c r="Y62" s="613"/>
      <c r="Z62" s="613"/>
      <c r="AA62" s="613"/>
      <c r="AB62" s="613"/>
      <c r="AC62" s="616"/>
      <c r="AD62" s="346">
        <v>42338</v>
      </c>
      <c r="AE62" s="614">
        <f t="shared" ca="1" si="5"/>
        <v>-148</v>
      </c>
      <c r="AF62" s="339" t="s">
        <v>48</v>
      </c>
    </row>
    <row r="63" spans="1:32" s="541" customFormat="1" ht="25.5" x14ac:dyDescent="0.2">
      <c r="A63" s="646" t="s">
        <v>1777</v>
      </c>
      <c r="B63" s="639" t="s">
        <v>1775</v>
      </c>
      <c r="C63" s="339"/>
      <c r="D63" s="340" t="s">
        <v>1778</v>
      </c>
      <c r="E63" s="340" t="s">
        <v>1779</v>
      </c>
      <c r="F63" s="365">
        <v>15666.96</v>
      </c>
      <c r="G63" s="673">
        <v>1305.58</v>
      </c>
      <c r="H63" s="673">
        <v>1305.58</v>
      </c>
      <c r="I63" s="673">
        <v>1305.58</v>
      </c>
      <c r="J63" s="673">
        <v>1305.58</v>
      </c>
      <c r="K63" s="673">
        <v>1305.58</v>
      </c>
      <c r="L63" s="673">
        <v>1305.58</v>
      </c>
      <c r="M63" s="673">
        <v>1305.58</v>
      </c>
      <c r="N63" s="673">
        <v>1305.58</v>
      </c>
      <c r="O63" s="673">
        <v>1305.58</v>
      </c>
      <c r="P63" s="673">
        <v>1305.58</v>
      </c>
      <c r="Q63" s="673">
        <v>1305.58</v>
      </c>
      <c r="R63" s="673">
        <v>1305.58</v>
      </c>
      <c r="S63" s="656">
        <f t="shared" si="7"/>
        <v>15666.96</v>
      </c>
      <c r="T63" s="610">
        <f t="shared" ca="1" si="6"/>
        <v>-949</v>
      </c>
      <c r="U63" s="611">
        <v>43433</v>
      </c>
      <c r="V63" s="345" t="s">
        <v>2112</v>
      </c>
      <c r="W63" s="612"/>
      <c r="X63" s="613"/>
      <c r="Y63" s="613"/>
      <c r="Z63" s="613"/>
      <c r="AA63" s="613"/>
      <c r="AB63" s="613"/>
      <c r="AC63" s="616"/>
      <c r="AD63" s="346">
        <v>42338</v>
      </c>
      <c r="AE63" s="614">
        <f t="shared" ca="1" si="5"/>
        <v>-148</v>
      </c>
      <c r="AF63" s="339" t="s">
        <v>1454</v>
      </c>
    </row>
    <row r="64" spans="1:32" s="541" customFormat="1" ht="114.75" x14ac:dyDescent="0.2">
      <c r="A64" s="646" t="s">
        <v>1792</v>
      </c>
      <c r="B64" s="339"/>
      <c r="C64" s="339" t="s">
        <v>1793</v>
      </c>
      <c r="D64" s="340" t="s">
        <v>586</v>
      </c>
      <c r="E64" s="340" t="s">
        <v>1880</v>
      </c>
      <c r="F64" s="365">
        <v>0</v>
      </c>
      <c r="G64" s="673">
        <v>0</v>
      </c>
      <c r="H64" s="673">
        <v>0</v>
      </c>
      <c r="I64" s="673">
        <v>0</v>
      </c>
      <c r="J64" s="673">
        <v>0</v>
      </c>
      <c r="K64" s="673">
        <v>0</v>
      </c>
      <c r="L64" s="673">
        <v>0</v>
      </c>
      <c r="M64" s="673">
        <v>0</v>
      </c>
      <c r="N64" s="673">
        <v>0</v>
      </c>
      <c r="O64" s="673">
        <v>0</v>
      </c>
      <c r="P64" s="673">
        <v>0</v>
      </c>
      <c r="Q64" s="673">
        <v>0</v>
      </c>
      <c r="R64" s="673">
        <v>0</v>
      </c>
      <c r="S64" s="656">
        <f t="shared" si="7"/>
        <v>0</v>
      </c>
      <c r="T64" s="617">
        <f t="shared" ca="1" si="6"/>
        <v>-188</v>
      </c>
      <c r="U64" s="611">
        <v>44194</v>
      </c>
      <c r="V64" s="345" t="s">
        <v>1873</v>
      </c>
      <c r="W64" s="612"/>
      <c r="X64" s="613"/>
      <c r="Y64" s="613"/>
      <c r="Z64" s="613"/>
      <c r="AA64" s="613"/>
      <c r="AB64" s="613"/>
      <c r="AC64" s="616"/>
      <c r="AD64" s="346">
        <v>42358</v>
      </c>
      <c r="AE64" s="618">
        <f t="shared" ca="1" si="5"/>
        <v>-168</v>
      </c>
      <c r="AF64" s="339" t="s">
        <v>1796</v>
      </c>
    </row>
    <row r="65" spans="1:32" s="308" customFormat="1" ht="38.25" x14ac:dyDescent="0.2">
      <c r="A65" s="646" t="s">
        <v>1756</v>
      </c>
      <c r="B65" s="339"/>
      <c r="C65" s="339" t="s">
        <v>1757</v>
      </c>
      <c r="D65" s="340" t="s">
        <v>1799</v>
      </c>
      <c r="E65" s="340" t="s">
        <v>1798</v>
      </c>
      <c r="F65" s="365" t="s">
        <v>314</v>
      </c>
      <c r="G65" s="673">
        <v>0</v>
      </c>
      <c r="H65" s="673">
        <v>0</v>
      </c>
      <c r="I65" s="673">
        <v>0</v>
      </c>
      <c r="J65" s="673">
        <v>0</v>
      </c>
      <c r="K65" s="673">
        <v>0</v>
      </c>
      <c r="L65" s="673">
        <v>0</v>
      </c>
      <c r="M65" s="673">
        <v>0</v>
      </c>
      <c r="N65" s="673">
        <v>0</v>
      </c>
      <c r="O65" s="673">
        <v>0</v>
      </c>
      <c r="P65" s="673">
        <v>0</v>
      </c>
      <c r="Q65" s="673">
        <v>0</v>
      </c>
      <c r="R65" s="673">
        <v>0</v>
      </c>
      <c r="S65" s="656">
        <f t="shared" si="7"/>
        <v>0</v>
      </c>
      <c r="T65" s="617">
        <f t="shared" ca="1" si="6"/>
        <v>-1152</v>
      </c>
      <c r="U65" s="611">
        <v>43230</v>
      </c>
      <c r="V65" s="345" t="s">
        <v>2051</v>
      </c>
      <c r="W65" s="612"/>
      <c r="X65" s="613"/>
      <c r="Y65" s="613"/>
      <c r="Z65" s="613"/>
      <c r="AA65" s="613"/>
      <c r="AB65" s="613"/>
      <c r="AC65" s="616"/>
      <c r="AD65" s="346">
        <v>42356</v>
      </c>
      <c r="AE65" s="618">
        <f t="shared" ca="1" si="5"/>
        <v>-166</v>
      </c>
      <c r="AF65" s="339" t="s">
        <v>1763</v>
      </c>
    </row>
    <row r="66" spans="1:32" s="308" customFormat="1" ht="38.25" x14ac:dyDescent="0.2">
      <c r="A66" s="646" t="s">
        <v>1756</v>
      </c>
      <c r="B66" s="339"/>
      <c r="C66" s="339" t="s">
        <v>1757</v>
      </c>
      <c r="D66" s="340" t="s">
        <v>1807</v>
      </c>
      <c r="E66" s="340" t="s">
        <v>1798</v>
      </c>
      <c r="F66" s="365" t="s">
        <v>314</v>
      </c>
      <c r="G66" s="673">
        <v>0</v>
      </c>
      <c r="H66" s="673">
        <v>0</v>
      </c>
      <c r="I66" s="673">
        <v>0</v>
      </c>
      <c r="J66" s="673">
        <v>0</v>
      </c>
      <c r="K66" s="673">
        <v>0</v>
      </c>
      <c r="L66" s="673">
        <v>0</v>
      </c>
      <c r="M66" s="673">
        <v>0</v>
      </c>
      <c r="N66" s="673">
        <v>0</v>
      </c>
      <c r="O66" s="673">
        <v>0</v>
      </c>
      <c r="P66" s="673">
        <v>0</v>
      </c>
      <c r="Q66" s="673">
        <v>0</v>
      </c>
      <c r="R66" s="673">
        <v>0</v>
      </c>
      <c r="S66" s="656">
        <f t="shared" si="7"/>
        <v>0</v>
      </c>
      <c r="T66" s="617">
        <f t="shared" ca="1" si="6"/>
        <v>-1152</v>
      </c>
      <c r="U66" s="611">
        <v>43230</v>
      </c>
      <c r="V66" s="345" t="s">
        <v>2051</v>
      </c>
      <c r="W66" s="612"/>
      <c r="X66" s="613"/>
      <c r="Y66" s="613"/>
      <c r="Z66" s="613"/>
      <c r="AA66" s="613"/>
      <c r="AB66" s="613"/>
      <c r="AC66" s="616"/>
      <c r="AD66" s="346">
        <v>42356</v>
      </c>
      <c r="AE66" s="618">
        <f t="shared" ca="1" si="5"/>
        <v>-166</v>
      </c>
      <c r="AF66" s="339" t="s">
        <v>1763</v>
      </c>
    </row>
    <row r="67" spans="1:32" s="541" customFormat="1" ht="38.25" x14ac:dyDescent="0.2">
      <c r="A67" s="646" t="s">
        <v>1756</v>
      </c>
      <c r="B67" s="339"/>
      <c r="C67" s="339" t="s">
        <v>1757</v>
      </c>
      <c r="D67" s="340" t="s">
        <v>1802</v>
      </c>
      <c r="E67" s="340" t="s">
        <v>1798</v>
      </c>
      <c r="F67" s="365" t="s">
        <v>314</v>
      </c>
      <c r="G67" s="673">
        <v>0</v>
      </c>
      <c r="H67" s="673">
        <v>0</v>
      </c>
      <c r="I67" s="673">
        <v>0</v>
      </c>
      <c r="J67" s="673">
        <v>0</v>
      </c>
      <c r="K67" s="673">
        <v>0</v>
      </c>
      <c r="L67" s="673">
        <v>0</v>
      </c>
      <c r="M67" s="673">
        <v>0</v>
      </c>
      <c r="N67" s="673">
        <v>0</v>
      </c>
      <c r="O67" s="673">
        <v>0</v>
      </c>
      <c r="P67" s="673">
        <v>0</v>
      </c>
      <c r="Q67" s="673">
        <v>0</v>
      </c>
      <c r="R67" s="673">
        <v>0</v>
      </c>
      <c r="S67" s="656">
        <f t="shared" si="7"/>
        <v>0</v>
      </c>
      <c r="T67" s="617">
        <f t="shared" ca="1" si="6"/>
        <v>-1152</v>
      </c>
      <c r="U67" s="611">
        <v>43230</v>
      </c>
      <c r="V67" s="345" t="s">
        <v>2052</v>
      </c>
      <c r="W67" s="612"/>
      <c r="X67" s="613"/>
      <c r="Y67" s="613"/>
      <c r="Z67" s="613"/>
      <c r="AA67" s="613"/>
      <c r="AB67" s="613"/>
      <c r="AC67" s="616"/>
      <c r="AD67" s="346">
        <v>42356</v>
      </c>
      <c r="AE67" s="618">
        <f t="shared" ca="1" si="5"/>
        <v>-166</v>
      </c>
      <c r="AF67" s="339" t="s">
        <v>1763</v>
      </c>
    </row>
    <row r="68" spans="1:32" s="541" customFormat="1" ht="38.25" x14ac:dyDescent="0.2">
      <c r="A68" s="646" t="s">
        <v>1756</v>
      </c>
      <c r="B68" s="339"/>
      <c r="C68" s="339" t="s">
        <v>1757</v>
      </c>
      <c r="D68" s="340" t="s">
        <v>1803</v>
      </c>
      <c r="E68" s="340" t="s">
        <v>1798</v>
      </c>
      <c r="F68" s="365" t="s">
        <v>314</v>
      </c>
      <c r="G68" s="673">
        <v>0</v>
      </c>
      <c r="H68" s="673">
        <v>0</v>
      </c>
      <c r="I68" s="673">
        <v>0</v>
      </c>
      <c r="J68" s="673">
        <v>0</v>
      </c>
      <c r="K68" s="673">
        <v>0</v>
      </c>
      <c r="L68" s="673">
        <v>0</v>
      </c>
      <c r="M68" s="673">
        <v>0</v>
      </c>
      <c r="N68" s="673">
        <v>0</v>
      </c>
      <c r="O68" s="673">
        <v>0</v>
      </c>
      <c r="P68" s="673">
        <v>0</v>
      </c>
      <c r="Q68" s="673">
        <v>0</v>
      </c>
      <c r="R68" s="673">
        <v>0</v>
      </c>
      <c r="S68" s="656">
        <f t="shared" si="7"/>
        <v>0</v>
      </c>
      <c r="T68" s="617">
        <f t="shared" ca="1" si="6"/>
        <v>-1152</v>
      </c>
      <c r="U68" s="611">
        <v>43230</v>
      </c>
      <c r="V68" s="345" t="s">
        <v>2051</v>
      </c>
      <c r="W68" s="612"/>
      <c r="X68" s="613"/>
      <c r="Y68" s="613"/>
      <c r="Z68" s="613"/>
      <c r="AA68" s="613"/>
      <c r="AB68" s="613"/>
      <c r="AC68" s="616"/>
      <c r="AD68" s="346">
        <v>42356</v>
      </c>
      <c r="AE68" s="618">
        <f t="shared" ca="1" si="5"/>
        <v>-166</v>
      </c>
      <c r="AF68" s="339" t="s">
        <v>1763</v>
      </c>
    </row>
    <row r="69" spans="1:32" s="541" customFormat="1" ht="38.25" x14ac:dyDescent="0.2">
      <c r="A69" s="646" t="s">
        <v>1756</v>
      </c>
      <c r="B69" s="339"/>
      <c r="C69" s="339" t="s">
        <v>1757</v>
      </c>
      <c r="D69" s="340" t="s">
        <v>1806</v>
      </c>
      <c r="E69" s="340" t="s">
        <v>1798</v>
      </c>
      <c r="F69" s="365" t="s">
        <v>314</v>
      </c>
      <c r="G69" s="673">
        <v>0</v>
      </c>
      <c r="H69" s="673">
        <v>0</v>
      </c>
      <c r="I69" s="673">
        <v>0</v>
      </c>
      <c r="J69" s="673">
        <v>0</v>
      </c>
      <c r="K69" s="673">
        <v>0</v>
      </c>
      <c r="L69" s="673">
        <v>0</v>
      </c>
      <c r="M69" s="673">
        <v>0</v>
      </c>
      <c r="N69" s="673">
        <v>0</v>
      </c>
      <c r="O69" s="673">
        <v>0</v>
      </c>
      <c r="P69" s="673">
        <v>0</v>
      </c>
      <c r="Q69" s="673">
        <v>0</v>
      </c>
      <c r="R69" s="673">
        <v>0</v>
      </c>
      <c r="S69" s="656">
        <f t="shared" si="7"/>
        <v>0</v>
      </c>
      <c r="T69" s="610">
        <f t="shared" ca="1" si="6"/>
        <v>-1152</v>
      </c>
      <c r="U69" s="611">
        <v>43230</v>
      </c>
      <c r="V69" s="345" t="s">
        <v>2052</v>
      </c>
      <c r="W69" s="612"/>
      <c r="X69" s="613"/>
      <c r="Y69" s="613"/>
      <c r="Z69" s="613"/>
      <c r="AA69" s="613"/>
      <c r="AB69" s="613"/>
      <c r="AC69" s="616"/>
      <c r="AD69" s="346">
        <v>42356</v>
      </c>
      <c r="AE69" s="614">
        <f t="shared" ca="1" si="5"/>
        <v>-166</v>
      </c>
      <c r="AF69" s="339" t="s">
        <v>1763</v>
      </c>
    </row>
    <row r="70" spans="1:32" s="541" customFormat="1" ht="38.25" x14ac:dyDescent="0.2">
      <c r="A70" s="646" t="s">
        <v>1756</v>
      </c>
      <c r="B70" s="339"/>
      <c r="C70" s="339" t="s">
        <v>1757</v>
      </c>
      <c r="D70" s="340" t="s">
        <v>1808</v>
      </c>
      <c r="E70" s="340" t="s">
        <v>1798</v>
      </c>
      <c r="F70" s="365" t="s">
        <v>314</v>
      </c>
      <c r="G70" s="673">
        <v>0</v>
      </c>
      <c r="H70" s="673">
        <v>0</v>
      </c>
      <c r="I70" s="673">
        <v>0</v>
      </c>
      <c r="J70" s="673">
        <v>0</v>
      </c>
      <c r="K70" s="673">
        <v>0</v>
      </c>
      <c r="L70" s="673">
        <v>0</v>
      </c>
      <c r="M70" s="673">
        <v>0</v>
      </c>
      <c r="N70" s="673">
        <v>0</v>
      </c>
      <c r="O70" s="673">
        <v>0</v>
      </c>
      <c r="P70" s="673">
        <v>0</v>
      </c>
      <c r="Q70" s="673">
        <v>0</v>
      </c>
      <c r="R70" s="673">
        <v>0</v>
      </c>
      <c r="S70" s="656">
        <f t="shared" si="7"/>
        <v>0</v>
      </c>
      <c r="T70" s="617">
        <f t="shared" ca="1" si="6"/>
        <v>-1152</v>
      </c>
      <c r="U70" s="611">
        <v>43230</v>
      </c>
      <c r="V70" s="345" t="s">
        <v>2051</v>
      </c>
      <c r="W70" s="612"/>
      <c r="X70" s="613"/>
      <c r="Y70" s="613"/>
      <c r="Z70" s="613"/>
      <c r="AA70" s="613"/>
      <c r="AB70" s="613"/>
      <c r="AC70" s="616"/>
      <c r="AD70" s="346">
        <v>42356</v>
      </c>
      <c r="AE70" s="618">
        <f t="shared" ca="1" si="5"/>
        <v>-166</v>
      </c>
      <c r="AF70" s="339" t="s">
        <v>1763</v>
      </c>
    </row>
    <row r="71" spans="1:32" s="541" customFormat="1" ht="38.25" x14ac:dyDescent="0.2">
      <c r="A71" s="646" t="s">
        <v>1756</v>
      </c>
      <c r="B71" s="339"/>
      <c r="C71" s="339" t="s">
        <v>1757</v>
      </c>
      <c r="D71" s="340" t="s">
        <v>1809</v>
      </c>
      <c r="E71" s="340" t="s">
        <v>1798</v>
      </c>
      <c r="F71" s="365" t="s">
        <v>314</v>
      </c>
      <c r="G71" s="673">
        <v>0</v>
      </c>
      <c r="H71" s="673">
        <v>0</v>
      </c>
      <c r="I71" s="673">
        <v>0</v>
      </c>
      <c r="J71" s="673">
        <v>0</v>
      </c>
      <c r="K71" s="673">
        <v>0</v>
      </c>
      <c r="L71" s="673">
        <v>0</v>
      </c>
      <c r="M71" s="673">
        <v>0</v>
      </c>
      <c r="N71" s="673">
        <v>0</v>
      </c>
      <c r="O71" s="673">
        <v>0</v>
      </c>
      <c r="P71" s="673">
        <v>0</v>
      </c>
      <c r="Q71" s="673">
        <v>0</v>
      </c>
      <c r="R71" s="673">
        <v>0</v>
      </c>
      <c r="S71" s="656">
        <f t="shared" si="7"/>
        <v>0</v>
      </c>
      <c r="T71" s="617">
        <f t="shared" ca="1" si="6"/>
        <v>-1152</v>
      </c>
      <c r="U71" s="611">
        <v>43230</v>
      </c>
      <c r="V71" s="345" t="s">
        <v>2051</v>
      </c>
      <c r="W71" s="612"/>
      <c r="X71" s="613"/>
      <c r="Y71" s="613"/>
      <c r="Z71" s="613"/>
      <c r="AA71" s="613"/>
      <c r="AB71" s="613"/>
      <c r="AC71" s="616"/>
      <c r="AD71" s="346">
        <v>42356</v>
      </c>
      <c r="AE71" s="618">
        <f t="shared" ref="AE71:AE124" ca="1" si="9">TODAY()-DATE(YEAR(AD71)+6,MONTH(AD71),DAY(AD71))</f>
        <v>-166</v>
      </c>
      <c r="AF71" s="339" t="s">
        <v>1763</v>
      </c>
    </row>
    <row r="72" spans="1:32" s="308" customFormat="1" ht="38.25" x14ac:dyDescent="0.2">
      <c r="A72" s="646" t="s">
        <v>1756</v>
      </c>
      <c r="B72" s="339"/>
      <c r="C72" s="339" t="s">
        <v>1757</v>
      </c>
      <c r="D72" s="340" t="s">
        <v>1812</v>
      </c>
      <c r="E72" s="340" t="s">
        <v>1798</v>
      </c>
      <c r="F72" s="365" t="s">
        <v>314</v>
      </c>
      <c r="G72" s="673">
        <v>0</v>
      </c>
      <c r="H72" s="673">
        <v>0</v>
      </c>
      <c r="I72" s="673">
        <v>0</v>
      </c>
      <c r="J72" s="673">
        <v>0</v>
      </c>
      <c r="K72" s="673">
        <v>0</v>
      </c>
      <c r="L72" s="673">
        <v>0</v>
      </c>
      <c r="M72" s="673">
        <v>0</v>
      </c>
      <c r="N72" s="673">
        <v>0</v>
      </c>
      <c r="O72" s="673">
        <v>0</v>
      </c>
      <c r="P72" s="673">
        <v>0</v>
      </c>
      <c r="Q72" s="673">
        <v>0</v>
      </c>
      <c r="R72" s="673">
        <v>0</v>
      </c>
      <c r="S72" s="656">
        <f t="shared" si="7"/>
        <v>0</v>
      </c>
      <c r="T72" s="617">
        <f t="shared" ca="1" si="6"/>
        <v>-1152</v>
      </c>
      <c r="U72" s="611">
        <v>43230</v>
      </c>
      <c r="V72" s="345" t="s">
        <v>2051</v>
      </c>
      <c r="W72" s="612"/>
      <c r="X72" s="613"/>
      <c r="Y72" s="613"/>
      <c r="Z72" s="613"/>
      <c r="AA72" s="613"/>
      <c r="AB72" s="613"/>
      <c r="AC72" s="616"/>
      <c r="AD72" s="346">
        <v>42356</v>
      </c>
      <c r="AE72" s="618">
        <f t="shared" ca="1" si="9"/>
        <v>-166</v>
      </c>
      <c r="AF72" s="339" t="s">
        <v>1763</v>
      </c>
    </row>
    <row r="73" spans="1:32" s="308" customFormat="1" ht="38.25" x14ac:dyDescent="0.2">
      <c r="A73" s="646" t="s">
        <v>1756</v>
      </c>
      <c r="B73" s="339"/>
      <c r="C73" s="339" t="s">
        <v>1757</v>
      </c>
      <c r="D73" s="340" t="s">
        <v>125</v>
      </c>
      <c r="E73" s="340" t="s">
        <v>1798</v>
      </c>
      <c r="F73" s="365" t="s">
        <v>314</v>
      </c>
      <c r="G73" s="673">
        <v>826.5</v>
      </c>
      <c r="H73" s="673">
        <v>0</v>
      </c>
      <c r="I73" s="673">
        <v>0</v>
      </c>
      <c r="J73" s="673">
        <v>0</v>
      </c>
      <c r="K73" s="673">
        <v>0</v>
      </c>
      <c r="L73" s="673">
        <v>0</v>
      </c>
      <c r="M73" s="673">
        <v>0</v>
      </c>
      <c r="N73" s="673">
        <v>0</v>
      </c>
      <c r="O73" s="673">
        <v>3846.19</v>
      </c>
      <c r="P73" s="673">
        <v>936.07</v>
      </c>
      <c r="Q73" s="673">
        <v>0</v>
      </c>
      <c r="R73" s="673">
        <v>1632.54</v>
      </c>
      <c r="S73" s="656">
        <f t="shared" si="7"/>
        <v>7241.3</v>
      </c>
      <c r="T73" s="610">
        <f t="shared" ca="1" si="6"/>
        <v>-1296</v>
      </c>
      <c r="U73" s="611">
        <v>43086</v>
      </c>
      <c r="V73" s="615" t="s">
        <v>2014</v>
      </c>
      <c r="W73" s="612"/>
      <c r="X73" s="613"/>
      <c r="Y73" s="613"/>
      <c r="Z73" s="613"/>
      <c r="AA73" s="613"/>
      <c r="AB73" s="613"/>
      <c r="AC73" s="616">
        <v>43027</v>
      </c>
      <c r="AD73" s="346">
        <v>42356</v>
      </c>
      <c r="AE73" s="614">
        <f t="shared" ca="1" si="9"/>
        <v>-166</v>
      </c>
      <c r="AF73" s="339" t="s">
        <v>1763</v>
      </c>
    </row>
    <row r="74" spans="1:32" s="308" customFormat="1" ht="38.25" x14ac:dyDescent="0.2">
      <c r="A74" s="646" t="s">
        <v>1756</v>
      </c>
      <c r="B74" s="339"/>
      <c r="C74" s="339" t="s">
        <v>1757</v>
      </c>
      <c r="D74" s="340" t="s">
        <v>1814</v>
      </c>
      <c r="E74" s="340" t="s">
        <v>1798</v>
      </c>
      <c r="F74" s="365" t="s">
        <v>314</v>
      </c>
      <c r="G74" s="673">
        <v>95</v>
      </c>
      <c r="H74" s="673">
        <v>0</v>
      </c>
      <c r="I74" s="673">
        <v>0</v>
      </c>
      <c r="J74" s="673">
        <v>0</v>
      </c>
      <c r="K74" s="673">
        <v>0</v>
      </c>
      <c r="L74" s="673">
        <v>0</v>
      </c>
      <c r="M74" s="673">
        <v>0</v>
      </c>
      <c r="N74" s="673">
        <v>6100.56</v>
      </c>
      <c r="O74" s="673">
        <v>0</v>
      </c>
      <c r="P74" s="673">
        <v>0</v>
      </c>
      <c r="Q74" s="673">
        <v>0</v>
      </c>
      <c r="R74" s="673">
        <f>244.29+410.45</f>
        <v>654.74</v>
      </c>
      <c r="S74" s="656">
        <f t="shared" si="7"/>
        <v>6850.3</v>
      </c>
      <c r="T74" s="610">
        <f t="shared" ref="T74:T108" ca="1" si="10">U74-$AE$3</f>
        <v>-1296</v>
      </c>
      <c r="U74" s="611">
        <v>43086</v>
      </c>
      <c r="V74" s="615" t="s">
        <v>2000</v>
      </c>
      <c r="W74" s="612"/>
      <c r="X74" s="613"/>
      <c r="Y74" s="613"/>
      <c r="Z74" s="613"/>
      <c r="AA74" s="613"/>
      <c r="AB74" s="613"/>
      <c r="AC74" s="616">
        <v>43027</v>
      </c>
      <c r="AD74" s="346">
        <v>42356</v>
      </c>
      <c r="AE74" s="614">
        <f t="shared" ca="1" si="9"/>
        <v>-166</v>
      </c>
      <c r="AF74" s="339" t="s">
        <v>1763</v>
      </c>
    </row>
    <row r="75" spans="1:32" s="308" customFormat="1" ht="38.25" x14ac:dyDescent="0.2">
      <c r="A75" s="646" t="s">
        <v>1756</v>
      </c>
      <c r="B75" s="339"/>
      <c r="C75" s="339" t="s">
        <v>1757</v>
      </c>
      <c r="D75" s="340" t="s">
        <v>1815</v>
      </c>
      <c r="E75" s="340" t="s">
        <v>1798</v>
      </c>
      <c r="F75" s="365" t="s">
        <v>314</v>
      </c>
      <c r="G75" s="673">
        <v>0</v>
      </c>
      <c r="H75" s="673">
        <v>0</v>
      </c>
      <c r="I75" s="673">
        <v>0</v>
      </c>
      <c r="J75" s="673">
        <v>0</v>
      </c>
      <c r="K75" s="673">
        <v>0</v>
      </c>
      <c r="L75" s="673">
        <v>0</v>
      </c>
      <c r="M75" s="673">
        <v>0</v>
      </c>
      <c r="N75" s="673">
        <v>0</v>
      </c>
      <c r="O75" s="673">
        <v>0</v>
      </c>
      <c r="P75" s="673">
        <v>0</v>
      </c>
      <c r="Q75" s="673">
        <v>0</v>
      </c>
      <c r="R75" s="673">
        <v>0</v>
      </c>
      <c r="S75" s="656">
        <f t="shared" si="7"/>
        <v>0</v>
      </c>
      <c r="T75" s="610">
        <f t="shared" ca="1" si="10"/>
        <v>-1296</v>
      </c>
      <c r="U75" s="611">
        <v>43086</v>
      </c>
      <c r="V75" s="615" t="s">
        <v>2000</v>
      </c>
      <c r="W75" s="612"/>
      <c r="X75" s="613"/>
      <c r="Y75" s="613"/>
      <c r="Z75" s="613"/>
      <c r="AA75" s="613"/>
      <c r="AB75" s="613"/>
      <c r="AC75" s="616">
        <v>43027</v>
      </c>
      <c r="AD75" s="346">
        <v>42356</v>
      </c>
      <c r="AE75" s="614">
        <f t="shared" ca="1" si="9"/>
        <v>-166</v>
      </c>
      <c r="AF75" s="339" t="s">
        <v>1763</v>
      </c>
    </row>
    <row r="76" spans="1:32" s="308" customFormat="1" ht="38.25" x14ac:dyDescent="0.2">
      <c r="A76" s="646" t="s">
        <v>1756</v>
      </c>
      <c r="B76" s="339"/>
      <c r="C76" s="339" t="s">
        <v>1757</v>
      </c>
      <c r="D76" s="340" t="s">
        <v>1816</v>
      </c>
      <c r="E76" s="340" t="s">
        <v>1798</v>
      </c>
      <c r="F76" s="365" t="s">
        <v>314</v>
      </c>
      <c r="G76" s="673">
        <v>0</v>
      </c>
      <c r="H76" s="673">
        <v>0</v>
      </c>
      <c r="I76" s="673">
        <v>0</v>
      </c>
      <c r="J76" s="673">
        <v>0</v>
      </c>
      <c r="K76" s="673">
        <v>0</v>
      </c>
      <c r="L76" s="673">
        <v>0</v>
      </c>
      <c r="M76" s="673">
        <v>0</v>
      </c>
      <c r="N76" s="673">
        <v>760</v>
      </c>
      <c r="O76" s="673">
        <v>0</v>
      </c>
      <c r="P76" s="673">
        <v>493.41</v>
      </c>
      <c r="Q76" s="673">
        <v>0</v>
      </c>
      <c r="R76" s="673">
        <v>0</v>
      </c>
      <c r="S76" s="656">
        <f t="shared" si="7"/>
        <v>1253.4100000000001</v>
      </c>
      <c r="T76" s="610">
        <f t="shared" ca="1" si="10"/>
        <v>-1296</v>
      </c>
      <c r="U76" s="611">
        <v>43086</v>
      </c>
      <c r="V76" s="615" t="s">
        <v>2014</v>
      </c>
      <c r="W76" s="612"/>
      <c r="X76" s="613"/>
      <c r="Y76" s="613"/>
      <c r="Z76" s="613"/>
      <c r="AA76" s="613"/>
      <c r="AB76" s="613"/>
      <c r="AC76" s="616">
        <v>43027</v>
      </c>
      <c r="AD76" s="346">
        <v>42356</v>
      </c>
      <c r="AE76" s="614">
        <f t="shared" ca="1" si="9"/>
        <v>-166</v>
      </c>
      <c r="AF76" s="339" t="s">
        <v>1763</v>
      </c>
    </row>
    <row r="77" spans="1:32" s="541" customFormat="1" ht="38.25" x14ac:dyDescent="0.2">
      <c r="A77" s="646" t="s">
        <v>1756</v>
      </c>
      <c r="B77" s="339"/>
      <c r="C77" s="339" t="s">
        <v>1757</v>
      </c>
      <c r="D77" s="340" t="s">
        <v>1818</v>
      </c>
      <c r="E77" s="340" t="s">
        <v>1798</v>
      </c>
      <c r="F77" s="365" t="s">
        <v>314</v>
      </c>
      <c r="G77" s="673">
        <v>0</v>
      </c>
      <c r="H77" s="673">
        <v>0</v>
      </c>
      <c r="I77" s="673">
        <v>0</v>
      </c>
      <c r="J77" s="673">
        <v>0</v>
      </c>
      <c r="K77" s="673">
        <v>0</v>
      </c>
      <c r="L77" s="673">
        <v>0</v>
      </c>
      <c r="M77" s="673">
        <v>0</v>
      </c>
      <c r="N77" s="673">
        <v>0</v>
      </c>
      <c r="O77" s="673">
        <v>244.21</v>
      </c>
      <c r="P77" s="673">
        <v>0</v>
      </c>
      <c r="Q77" s="673">
        <v>0</v>
      </c>
      <c r="R77" s="673">
        <v>0</v>
      </c>
      <c r="S77" s="656">
        <f t="shared" si="7"/>
        <v>244.21</v>
      </c>
      <c r="T77" s="610">
        <f t="shared" ca="1" si="10"/>
        <v>-966</v>
      </c>
      <c r="U77" s="611">
        <v>43416</v>
      </c>
      <c r="V77" s="345" t="s">
        <v>2106</v>
      </c>
      <c r="W77" s="612"/>
      <c r="X77" s="613"/>
      <c r="Y77" s="613"/>
      <c r="Z77" s="613"/>
      <c r="AA77" s="613"/>
      <c r="AB77" s="613"/>
      <c r="AC77" s="616"/>
      <c r="AD77" s="346">
        <v>42356</v>
      </c>
      <c r="AE77" s="614">
        <f t="shared" ca="1" si="9"/>
        <v>-166</v>
      </c>
      <c r="AF77" s="339" t="s">
        <v>1763</v>
      </c>
    </row>
    <row r="78" spans="1:32" s="308" customFormat="1" ht="38.25" x14ac:dyDescent="0.2">
      <c r="A78" s="646" t="s">
        <v>1756</v>
      </c>
      <c r="B78" s="339"/>
      <c r="C78" s="339" t="s">
        <v>1757</v>
      </c>
      <c r="D78" s="340" t="s">
        <v>1819</v>
      </c>
      <c r="E78" s="340" t="s">
        <v>1798</v>
      </c>
      <c r="F78" s="365" t="s">
        <v>314</v>
      </c>
      <c r="G78" s="673">
        <v>0</v>
      </c>
      <c r="H78" s="673">
        <v>0</v>
      </c>
      <c r="I78" s="673">
        <v>0</v>
      </c>
      <c r="J78" s="673">
        <v>0</v>
      </c>
      <c r="K78" s="673">
        <v>0</v>
      </c>
      <c r="L78" s="673">
        <v>0</v>
      </c>
      <c r="M78" s="673">
        <v>0</v>
      </c>
      <c r="N78" s="673">
        <v>0</v>
      </c>
      <c r="O78" s="673">
        <v>0</v>
      </c>
      <c r="P78" s="673">
        <v>0</v>
      </c>
      <c r="Q78" s="673">
        <v>0</v>
      </c>
      <c r="R78" s="673">
        <v>0</v>
      </c>
      <c r="S78" s="656">
        <f t="shared" si="7"/>
        <v>0</v>
      </c>
      <c r="T78" s="610">
        <f t="shared" ca="1" si="10"/>
        <v>-1296</v>
      </c>
      <c r="U78" s="611">
        <v>43086</v>
      </c>
      <c r="V78" s="615" t="s">
        <v>2000</v>
      </c>
      <c r="W78" s="612"/>
      <c r="X78" s="613"/>
      <c r="Y78" s="613"/>
      <c r="Z78" s="613"/>
      <c r="AA78" s="613"/>
      <c r="AB78" s="613"/>
      <c r="AC78" s="616">
        <v>43027</v>
      </c>
      <c r="AD78" s="346">
        <v>42356</v>
      </c>
      <c r="AE78" s="614">
        <f t="shared" ca="1" si="9"/>
        <v>-166</v>
      </c>
      <c r="AF78" s="339" t="s">
        <v>1763</v>
      </c>
    </row>
    <row r="79" spans="1:32" s="541" customFormat="1" ht="38.25" x14ac:dyDescent="0.2">
      <c r="A79" s="646" t="s">
        <v>1756</v>
      </c>
      <c r="B79" s="339"/>
      <c r="C79" s="339" t="s">
        <v>1757</v>
      </c>
      <c r="D79" s="340" t="s">
        <v>1820</v>
      </c>
      <c r="E79" s="340" t="s">
        <v>1798</v>
      </c>
      <c r="F79" s="365" t="s">
        <v>314</v>
      </c>
      <c r="G79" s="673">
        <v>0</v>
      </c>
      <c r="H79" s="673">
        <v>0</v>
      </c>
      <c r="I79" s="673">
        <v>0</v>
      </c>
      <c r="J79" s="673">
        <v>0</v>
      </c>
      <c r="K79" s="673">
        <v>0</v>
      </c>
      <c r="L79" s="673">
        <v>0</v>
      </c>
      <c r="M79" s="673">
        <v>0</v>
      </c>
      <c r="N79" s="673">
        <v>205.76</v>
      </c>
      <c r="O79" s="673">
        <v>0</v>
      </c>
      <c r="P79" s="673">
        <v>0</v>
      </c>
      <c r="Q79" s="673">
        <v>0</v>
      </c>
      <c r="R79" s="673">
        <v>0</v>
      </c>
      <c r="S79" s="656">
        <f t="shared" si="7"/>
        <v>205.76</v>
      </c>
      <c r="T79" s="610">
        <f t="shared" ca="1" si="10"/>
        <v>-966</v>
      </c>
      <c r="U79" s="611">
        <v>43416</v>
      </c>
      <c r="V79" s="345" t="s">
        <v>2106</v>
      </c>
      <c r="W79" s="612"/>
      <c r="X79" s="613"/>
      <c r="Y79" s="613"/>
      <c r="Z79" s="613"/>
      <c r="AA79" s="613"/>
      <c r="AB79" s="613"/>
      <c r="AC79" s="616"/>
      <c r="AD79" s="346">
        <v>42356</v>
      </c>
      <c r="AE79" s="614">
        <f t="shared" ca="1" si="9"/>
        <v>-166</v>
      </c>
      <c r="AF79" s="339" t="s">
        <v>1763</v>
      </c>
    </row>
    <row r="80" spans="1:32" s="308" customFormat="1" ht="38.25" x14ac:dyDescent="0.2">
      <c r="A80" s="646" t="s">
        <v>1756</v>
      </c>
      <c r="B80" s="339"/>
      <c r="C80" s="339" t="s">
        <v>1757</v>
      </c>
      <c r="D80" s="340" t="s">
        <v>1821</v>
      </c>
      <c r="E80" s="340" t="s">
        <v>1798</v>
      </c>
      <c r="F80" s="365" t="s">
        <v>314</v>
      </c>
      <c r="G80" s="673">
        <v>0</v>
      </c>
      <c r="H80" s="673">
        <v>0</v>
      </c>
      <c r="I80" s="673">
        <v>0</v>
      </c>
      <c r="J80" s="673">
        <v>0</v>
      </c>
      <c r="K80" s="673">
        <v>0</v>
      </c>
      <c r="L80" s="673">
        <v>0</v>
      </c>
      <c r="M80" s="673">
        <v>0</v>
      </c>
      <c r="N80" s="673">
        <v>0</v>
      </c>
      <c r="O80" s="673">
        <v>308.54000000000002</v>
      </c>
      <c r="P80" s="673">
        <v>0</v>
      </c>
      <c r="Q80" s="673">
        <v>0</v>
      </c>
      <c r="R80" s="673">
        <v>415.5</v>
      </c>
      <c r="S80" s="656">
        <f t="shared" si="7"/>
        <v>724.04</v>
      </c>
      <c r="T80" s="610">
        <f t="shared" ca="1" si="10"/>
        <v>-1296</v>
      </c>
      <c r="U80" s="611">
        <v>43086</v>
      </c>
      <c r="V80" s="615" t="s">
        <v>2000</v>
      </c>
      <c r="W80" s="612"/>
      <c r="X80" s="613"/>
      <c r="Y80" s="613"/>
      <c r="Z80" s="613"/>
      <c r="AA80" s="613"/>
      <c r="AB80" s="613"/>
      <c r="AC80" s="616">
        <v>43027</v>
      </c>
      <c r="AD80" s="346">
        <v>42356</v>
      </c>
      <c r="AE80" s="614">
        <f t="shared" ca="1" si="9"/>
        <v>-166</v>
      </c>
      <c r="AF80" s="339" t="s">
        <v>1763</v>
      </c>
    </row>
    <row r="81" spans="1:32" s="541" customFormat="1" ht="38.25" x14ac:dyDescent="0.2">
      <c r="A81" s="646" t="s">
        <v>1756</v>
      </c>
      <c r="B81" s="339"/>
      <c r="C81" s="339" t="s">
        <v>1757</v>
      </c>
      <c r="D81" s="340" t="s">
        <v>1824</v>
      </c>
      <c r="E81" s="340" t="s">
        <v>1798</v>
      </c>
      <c r="F81" s="365" t="s">
        <v>314</v>
      </c>
      <c r="G81" s="673">
        <v>0</v>
      </c>
      <c r="H81" s="673">
        <v>0</v>
      </c>
      <c r="I81" s="673">
        <v>0</v>
      </c>
      <c r="J81" s="673">
        <v>0</v>
      </c>
      <c r="K81" s="673">
        <v>0</v>
      </c>
      <c r="L81" s="673">
        <v>0</v>
      </c>
      <c r="M81" s="673">
        <v>0</v>
      </c>
      <c r="N81" s="673">
        <v>0</v>
      </c>
      <c r="O81" s="673">
        <v>0</v>
      </c>
      <c r="P81" s="673">
        <v>0</v>
      </c>
      <c r="Q81" s="673">
        <v>0</v>
      </c>
      <c r="R81" s="673">
        <v>0</v>
      </c>
      <c r="S81" s="656">
        <f t="shared" si="7"/>
        <v>0</v>
      </c>
      <c r="T81" s="610">
        <f t="shared" ca="1" si="10"/>
        <v>-1296</v>
      </c>
      <c r="U81" s="611">
        <v>43086</v>
      </c>
      <c r="V81" s="615" t="s">
        <v>2034</v>
      </c>
      <c r="W81" s="612"/>
      <c r="X81" s="613"/>
      <c r="Y81" s="613"/>
      <c r="Z81" s="613"/>
      <c r="AA81" s="613"/>
      <c r="AB81" s="613"/>
      <c r="AC81" s="616">
        <v>43027</v>
      </c>
      <c r="AD81" s="346">
        <v>42356</v>
      </c>
      <c r="AE81" s="614">
        <f t="shared" ca="1" si="9"/>
        <v>-166</v>
      </c>
      <c r="AF81" s="339" t="s">
        <v>1763</v>
      </c>
    </row>
    <row r="82" spans="1:32" s="541" customFormat="1" ht="38.25" x14ac:dyDescent="0.2">
      <c r="A82" s="646" t="s">
        <v>1756</v>
      </c>
      <c r="B82" s="339"/>
      <c r="C82" s="339" t="s">
        <v>1757</v>
      </c>
      <c r="D82" s="340" t="s">
        <v>1825</v>
      </c>
      <c r="E82" s="340" t="s">
        <v>1798</v>
      </c>
      <c r="F82" s="365" t="s">
        <v>314</v>
      </c>
      <c r="G82" s="673">
        <v>0</v>
      </c>
      <c r="H82" s="673">
        <v>0</v>
      </c>
      <c r="I82" s="673">
        <v>0</v>
      </c>
      <c r="J82" s="673">
        <v>0</v>
      </c>
      <c r="K82" s="673">
        <v>0</v>
      </c>
      <c r="L82" s="673">
        <v>0</v>
      </c>
      <c r="M82" s="673">
        <v>0</v>
      </c>
      <c r="N82" s="673">
        <v>0</v>
      </c>
      <c r="O82" s="673">
        <v>0</v>
      </c>
      <c r="P82" s="673">
        <v>0</v>
      </c>
      <c r="Q82" s="673">
        <v>0</v>
      </c>
      <c r="R82" s="673">
        <v>0</v>
      </c>
      <c r="S82" s="656">
        <f t="shared" si="7"/>
        <v>0</v>
      </c>
      <c r="T82" s="610">
        <f t="shared" ca="1" si="10"/>
        <v>-1296</v>
      </c>
      <c r="U82" s="611">
        <v>43086</v>
      </c>
      <c r="V82" s="615" t="s">
        <v>2034</v>
      </c>
      <c r="W82" s="612"/>
      <c r="X82" s="613"/>
      <c r="Y82" s="613"/>
      <c r="Z82" s="613"/>
      <c r="AA82" s="613"/>
      <c r="AB82" s="613"/>
      <c r="AC82" s="616">
        <v>43027</v>
      </c>
      <c r="AD82" s="346">
        <v>42356</v>
      </c>
      <c r="AE82" s="614">
        <f t="shared" ca="1" si="9"/>
        <v>-166</v>
      </c>
      <c r="AF82" s="339" t="s">
        <v>1763</v>
      </c>
    </row>
    <row r="83" spans="1:32" s="541" customFormat="1" ht="38.25" x14ac:dyDescent="0.2">
      <c r="A83" s="646" t="s">
        <v>1756</v>
      </c>
      <c r="B83" s="339"/>
      <c r="C83" s="339" t="s">
        <v>1757</v>
      </c>
      <c r="D83" s="340" t="s">
        <v>1826</v>
      </c>
      <c r="E83" s="340" t="s">
        <v>1798</v>
      </c>
      <c r="F83" s="365" t="s">
        <v>314</v>
      </c>
      <c r="G83" s="673">
        <v>0</v>
      </c>
      <c r="H83" s="673">
        <v>0</v>
      </c>
      <c r="I83" s="673">
        <v>0</v>
      </c>
      <c r="J83" s="673">
        <v>0</v>
      </c>
      <c r="K83" s="673">
        <v>0</v>
      </c>
      <c r="L83" s="673">
        <v>0</v>
      </c>
      <c r="M83" s="673">
        <v>0</v>
      </c>
      <c r="N83" s="673">
        <v>0</v>
      </c>
      <c r="O83" s="673">
        <v>0</v>
      </c>
      <c r="P83" s="673">
        <v>0</v>
      </c>
      <c r="Q83" s="673">
        <v>0</v>
      </c>
      <c r="R83" s="673">
        <v>0</v>
      </c>
      <c r="S83" s="656">
        <f t="shared" si="7"/>
        <v>0</v>
      </c>
      <c r="T83" s="610">
        <f t="shared" ca="1" si="10"/>
        <v>-1296</v>
      </c>
      <c r="U83" s="611">
        <v>43086</v>
      </c>
      <c r="V83" s="615" t="s">
        <v>2000</v>
      </c>
      <c r="W83" s="612"/>
      <c r="X83" s="613"/>
      <c r="Y83" s="613"/>
      <c r="Z83" s="613"/>
      <c r="AA83" s="613"/>
      <c r="AB83" s="613"/>
      <c r="AC83" s="616">
        <v>43027</v>
      </c>
      <c r="AD83" s="346">
        <v>42356</v>
      </c>
      <c r="AE83" s="614">
        <f t="shared" ca="1" si="9"/>
        <v>-166</v>
      </c>
      <c r="AF83" s="339" t="s">
        <v>1763</v>
      </c>
    </row>
    <row r="84" spans="1:32" s="541" customFormat="1" ht="38.25" x14ac:dyDescent="0.2">
      <c r="A84" s="646" t="s">
        <v>1756</v>
      </c>
      <c r="B84" s="339"/>
      <c r="C84" s="339" t="s">
        <v>1757</v>
      </c>
      <c r="D84" s="340" t="s">
        <v>1827</v>
      </c>
      <c r="E84" s="340" t="s">
        <v>1798</v>
      </c>
      <c r="F84" s="365" t="s">
        <v>314</v>
      </c>
      <c r="G84" s="673">
        <v>0</v>
      </c>
      <c r="H84" s="673">
        <v>0</v>
      </c>
      <c r="I84" s="673">
        <v>0</v>
      </c>
      <c r="J84" s="673">
        <v>0</v>
      </c>
      <c r="K84" s="673">
        <v>0</v>
      </c>
      <c r="L84" s="673">
        <v>0</v>
      </c>
      <c r="M84" s="673">
        <v>0</v>
      </c>
      <c r="N84" s="673">
        <v>500.96</v>
      </c>
      <c r="O84" s="673">
        <v>0</v>
      </c>
      <c r="P84" s="673">
        <v>0</v>
      </c>
      <c r="Q84" s="673">
        <v>0</v>
      </c>
      <c r="R84" s="673">
        <v>0</v>
      </c>
      <c r="S84" s="656">
        <f t="shared" si="7"/>
        <v>500.96</v>
      </c>
      <c r="T84" s="610">
        <f t="shared" ca="1" si="10"/>
        <v>-1296</v>
      </c>
      <c r="U84" s="611">
        <v>43086</v>
      </c>
      <c r="V84" s="615" t="s">
        <v>2041</v>
      </c>
      <c r="W84" s="612"/>
      <c r="X84" s="613"/>
      <c r="Y84" s="613"/>
      <c r="Z84" s="613"/>
      <c r="AA84" s="613"/>
      <c r="AB84" s="613"/>
      <c r="AC84" s="616">
        <v>43027</v>
      </c>
      <c r="AD84" s="346">
        <v>42356</v>
      </c>
      <c r="AE84" s="614">
        <f t="shared" ca="1" si="9"/>
        <v>-166</v>
      </c>
      <c r="AF84" s="339" t="s">
        <v>1763</v>
      </c>
    </row>
    <row r="85" spans="1:32" s="541" customFormat="1" ht="38.25" x14ac:dyDescent="0.2">
      <c r="A85" s="646" t="s">
        <v>1756</v>
      </c>
      <c r="B85" s="339"/>
      <c r="C85" s="339" t="s">
        <v>1757</v>
      </c>
      <c r="D85" s="340" t="s">
        <v>1828</v>
      </c>
      <c r="E85" s="340" t="s">
        <v>1798</v>
      </c>
      <c r="F85" s="365" t="s">
        <v>314</v>
      </c>
      <c r="G85" s="673">
        <v>0</v>
      </c>
      <c r="H85" s="673">
        <v>0</v>
      </c>
      <c r="I85" s="673">
        <v>0</v>
      </c>
      <c r="J85" s="673">
        <v>0</v>
      </c>
      <c r="K85" s="673">
        <v>0</v>
      </c>
      <c r="L85" s="673">
        <v>0</v>
      </c>
      <c r="M85" s="673">
        <v>0</v>
      </c>
      <c r="N85" s="673">
        <v>0</v>
      </c>
      <c r="O85" s="673">
        <v>0</v>
      </c>
      <c r="P85" s="673">
        <v>0</v>
      </c>
      <c r="Q85" s="673">
        <v>0</v>
      </c>
      <c r="R85" s="673">
        <v>0</v>
      </c>
      <c r="S85" s="656">
        <f t="shared" si="7"/>
        <v>0</v>
      </c>
      <c r="T85" s="610">
        <f t="shared" ca="1" si="10"/>
        <v>-1296</v>
      </c>
      <c r="U85" s="611">
        <v>43086</v>
      </c>
      <c r="V85" s="615" t="s">
        <v>2041</v>
      </c>
      <c r="W85" s="612"/>
      <c r="X85" s="613"/>
      <c r="Y85" s="613"/>
      <c r="Z85" s="613"/>
      <c r="AA85" s="613"/>
      <c r="AB85" s="613"/>
      <c r="AC85" s="616">
        <v>43027</v>
      </c>
      <c r="AD85" s="346">
        <v>42356</v>
      </c>
      <c r="AE85" s="614">
        <f t="shared" ca="1" si="9"/>
        <v>-166</v>
      </c>
      <c r="AF85" s="339" t="s">
        <v>1763</v>
      </c>
    </row>
    <row r="86" spans="1:32" s="308" customFormat="1" ht="38.25" x14ac:dyDescent="0.2">
      <c r="A86" s="646" t="s">
        <v>1756</v>
      </c>
      <c r="B86" s="339"/>
      <c r="C86" s="339" t="s">
        <v>1757</v>
      </c>
      <c r="D86" s="340" t="s">
        <v>1829</v>
      </c>
      <c r="E86" s="340" t="s">
        <v>1798</v>
      </c>
      <c r="F86" s="365" t="s">
        <v>314</v>
      </c>
      <c r="G86" s="673">
        <v>100</v>
      </c>
      <c r="H86" s="673">
        <v>0</v>
      </c>
      <c r="I86" s="673">
        <v>0</v>
      </c>
      <c r="J86" s="673">
        <v>0</v>
      </c>
      <c r="K86" s="673">
        <v>0</v>
      </c>
      <c r="L86" s="673">
        <v>0</v>
      </c>
      <c r="M86" s="673">
        <v>0</v>
      </c>
      <c r="N86" s="673">
        <v>0</v>
      </c>
      <c r="O86" s="673">
        <v>0</v>
      </c>
      <c r="P86" s="673">
        <v>0</v>
      </c>
      <c r="Q86" s="673">
        <v>0</v>
      </c>
      <c r="R86" s="673">
        <v>0</v>
      </c>
      <c r="S86" s="656">
        <f t="shared" si="7"/>
        <v>100</v>
      </c>
      <c r="T86" s="610">
        <f t="shared" ca="1" si="10"/>
        <v>-1296</v>
      </c>
      <c r="U86" s="611">
        <v>43086</v>
      </c>
      <c r="V86" s="615" t="s">
        <v>2000</v>
      </c>
      <c r="W86" s="612"/>
      <c r="X86" s="613"/>
      <c r="Y86" s="613"/>
      <c r="Z86" s="613"/>
      <c r="AA86" s="613"/>
      <c r="AB86" s="613"/>
      <c r="AC86" s="616">
        <v>43027</v>
      </c>
      <c r="AD86" s="346">
        <v>42356</v>
      </c>
      <c r="AE86" s="614">
        <f t="shared" ca="1" si="9"/>
        <v>-166</v>
      </c>
      <c r="AF86" s="339" t="s">
        <v>1763</v>
      </c>
    </row>
    <row r="87" spans="1:32" s="541" customFormat="1" ht="38.25" x14ac:dyDescent="0.2">
      <c r="A87" s="646" t="s">
        <v>1756</v>
      </c>
      <c r="B87" s="339"/>
      <c r="C87" s="339" t="s">
        <v>1757</v>
      </c>
      <c r="D87" s="340" t="s">
        <v>1830</v>
      </c>
      <c r="E87" s="340" t="s">
        <v>1798</v>
      </c>
      <c r="F87" s="365" t="s">
        <v>314</v>
      </c>
      <c r="G87" s="673">
        <v>0</v>
      </c>
      <c r="H87" s="673">
        <v>0</v>
      </c>
      <c r="I87" s="673">
        <v>0</v>
      </c>
      <c r="J87" s="673">
        <v>0</v>
      </c>
      <c r="K87" s="673">
        <v>0</v>
      </c>
      <c r="L87" s="673">
        <v>0</v>
      </c>
      <c r="M87" s="673">
        <v>0</v>
      </c>
      <c r="N87" s="673">
        <v>0</v>
      </c>
      <c r="O87" s="673">
        <v>0</v>
      </c>
      <c r="P87" s="673">
        <v>0</v>
      </c>
      <c r="Q87" s="673">
        <v>0</v>
      </c>
      <c r="R87" s="673">
        <v>0</v>
      </c>
      <c r="S87" s="656">
        <f t="shared" si="7"/>
        <v>0</v>
      </c>
      <c r="T87" s="610">
        <f t="shared" ca="1" si="10"/>
        <v>-1296</v>
      </c>
      <c r="U87" s="611">
        <v>43086</v>
      </c>
      <c r="V87" s="615" t="s">
        <v>2000</v>
      </c>
      <c r="W87" s="612"/>
      <c r="X87" s="613"/>
      <c r="Y87" s="613"/>
      <c r="Z87" s="613"/>
      <c r="AA87" s="613"/>
      <c r="AB87" s="613"/>
      <c r="AC87" s="616">
        <v>43027</v>
      </c>
      <c r="AD87" s="346">
        <v>42356</v>
      </c>
      <c r="AE87" s="614">
        <f t="shared" ca="1" si="9"/>
        <v>-166</v>
      </c>
      <c r="AF87" s="339" t="s">
        <v>1763</v>
      </c>
    </row>
    <row r="88" spans="1:32" s="541" customFormat="1" ht="38.25" x14ac:dyDescent="0.2">
      <c r="A88" s="646" t="s">
        <v>1756</v>
      </c>
      <c r="B88" s="339"/>
      <c r="C88" s="339" t="s">
        <v>1757</v>
      </c>
      <c r="D88" s="340" t="s">
        <v>1832</v>
      </c>
      <c r="E88" s="340" t="s">
        <v>1798</v>
      </c>
      <c r="F88" s="365" t="s">
        <v>314</v>
      </c>
      <c r="G88" s="673">
        <v>0</v>
      </c>
      <c r="H88" s="673">
        <v>0</v>
      </c>
      <c r="I88" s="673">
        <v>0</v>
      </c>
      <c r="J88" s="673">
        <v>0</v>
      </c>
      <c r="K88" s="673">
        <v>0</v>
      </c>
      <c r="L88" s="673">
        <v>0</v>
      </c>
      <c r="M88" s="673">
        <v>0</v>
      </c>
      <c r="N88" s="673">
        <v>0</v>
      </c>
      <c r="O88" s="673">
        <v>0</v>
      </c>
      <c r="P88" s="673">
        <v>0</v>
      </c>
      <c r="Q88" s="673">
        <v>0</v>
      </c>
      <c r="R88" s="673">
        <v>0</v>
      </c>
      <c r="S88" s="656">
        <f t="shared" si="7"/>
        <v>0</v>
      </c>
      <c r="T88" s="610">
        <f t="shared" ca="1" si="10"/>
        <v>-1296</v>
      </c>
      <c r="U88" s="611">
        <v>43086</v>
      </c>
      <c r="V88" s="615" t="s">
        <v>2000</v>
      </c>
      <c r="W88" s="612"/>
      <c r="X88" s="613"/>
      <c r="Y88" s="613"/>
      <c r="Z88" s="613"/>
      <c r="AA88" s="613"/>
      <c r="AB88" s="613"/>
      <c r="AC88" s="616">
        <v>43027</v>
      </c>
      <c r="AD88" s="346">
        <v>42356</v>
      </c>
      <c r="AE88" s="614">
        <f t="shared" ca="1" si="9"/>
        <v>-166</v>
      </c>
      <c r="AF88" s="339" t="s">
        <v>1763</v>
      </c>
    </row>
    <row r="89" spans="1:32" s="541" customFormat="1" ht="51" x14ac:dyDescent="0.2">
      <c r="A89" s="646" t="s">
        <v>1756</v>
      </c>
      <c r="B89" s="339"/>
      <c r="C89" s="339" t="s">
        <v>1757</v>
      </c>
      <c r="D89" s="340" t="s">
        <v>1834</v>
      </c>
      <c r="E89" s="340" t="s">
        <v>1798</v>
      </c>
      <c r="F89" s="365" t="s">
        <v>314</v>
      </c>
      <c r="G89" s="673">
        <v>0</v>
      </c>
      <c r="H89" s="673">
        <v>0</v>
      </c>
      <c r="I89" s="673">
        <v>0</v>
      </c>
      <c r="J89" s="673">
        <v>0</v>
      </c>
      <c r="K89" s="673">
        <v>0</v>
      </c>
      <c r="L89" s="673">
        <v>0</v>
      </c>
      <c r="M89" s="673">
        <v>0</v>
      </c>
      <c r="N89" s="673">
        <v>0</v>
      </c>
      <c r="O89" s="673">
        <v>0</v>
      </c>
      <c r="P89" s="673">
        <v>0</v>
      </c>
      <c r="Q89" s="673">
        <v>0</v>
      </c>
      <c r="R89" s="673">
        <v>0</v>
      </c>
      <c r="S89" s="656">
        <f t="shared" si="7"/>
        <v>0</v>
      </c>
      <c r="T89" s="617">
        <f t="shared" ca="1" si="10"/>
        <v>-1152</v>
      </c>
      <c r="U89" s="611">
        <v>43230</v>
      </c>
      <c r="V89" s="345" t="s">
        <v>2051</v>
      </c>
      <c r="W89" s="612"/>
      <c r="X89" s="613"/>
      <c r="Y89" s="613"/>
      <c r="Z89" s="613"/>
      <c r="AA89" s="613"/>
      <c r="AB89" s="613"/>
      <c r="AC89" s="616"/>
      <c r="AD89" s="346">
        <v>42356</v>
      </c>
      <c r="AE89" s="618">
        <f t="shared" ca="1" si="9"/>
        <v>-166</v>
      </c>
      <c r="AF89" s="339" t="s">
        <v>1763</v>
      </c>
    </row>
    <row r="90" spans="1:32" s="541" customFormat="1" ht="38.25" x14ac:dyDescent="0.2">
      <c r="A90" s="646" t="s">
        <v>1839</v>
      </c>
      <c r="B90" s="339" t="s">
        <v>1840</v>
      </c>
      <c r="C90" s="339"/>
      <c r="D90" s="340" t="s">
        <v>1841</v>
      </c>
      <c r="E90" s="340" t="s">
        <v>1842</v>
      </c>
      <c r="F90" s="365">
        <v>11533.68</v>
      </c>
      <c r="G90" s="673">
        <v>0</v>
      </c>
      <c r="H90" s="673">
        <v>0</v>
      </c>
      <c r="I90" s="673">
        <v>0</v>
      </c>
      <c r="J90" s="673">
        <v>0</v>
      </c>
      <c r="K90" s="673">
        <v>0</v>
      </c>
      <c r="L90" s="673">
        <v>0</v>
      </c>
      <c r="M90" s="673">
        <v>0</v>
      </c>
      <c r="N90" s="673">
        <v>0</v>
      </c>
      <c r="O90" s="673">
        <v>0</v>
      </c>
      <c r="P90" s="673">
        <v>0</v>
      </c>
      <c r="Q90" s="673">
        <v>0</v>
      </c>
      <c r="R90" s="673">
        <v>0</v>
      </c>
      <c r="S90" s="656">
        <f t="shared" si="7"/>
        <v>0</v>
      </c>
      <c r="T90" s="617">
        <f t="shared" ca="1" si="10"/>
        <v>-1644</v>
      </c>
      <c r="U90" s="611">
        <v>42738</v>
      </c>
      <c r="V90" s="345" t="s">
        <v>1843</v>
      </c>
      <c r="W90" s="612"/>
      <c r="X90" s="613"/>
      <c r="Y90" s="613"/>
      <c r="Z90" s="613"/>
      <c r="AA90" s="613"/>
      <c r="AB90" s="613"/>
      <c r="AC90" s="616">
        <v>42681</v>
      </c>
      <c r="AD90" s="346">
        <v>42373</v>
      </c>
      <c r="AE90" s="618">
        <f t="shared" ca="1" si="9"/>
        <v>-183</v>
      </c>
      <c r="AF90" s="339" t="s">
        <v>48</v>
      </c>
    </row>
    <row r="91" spans="1:32" s="541" customFormat="1" ht="38.25" x14ac:dyDescent="0.2">
      <c r="A91" s="646" t="s">
        <v>1844</v>
      </c>
      <c r="B91" s="339" t="s">
        <v>1845</v>
      </c>
      <c r="C91" s="339"/>
      <c r="D91" s="340" t="s">
        <v>171</v>
      </c>
      <c r="E91" s="340" t="s">
        <v>1846</v>
      </c>
      <c r="F91" s="365" t="s">
        <v>1847</v>
      </c>
      <c r="G91" s="673">
        <v>2998.12</v>
      </c>
      <c r="H91" s="673">
        <v>761.07</v>
      </c>
      <c r="I91" s="673">
        <v>1215.06</v>
      </c>
      <c r="J91" s="673">
        <v>1013.96</v>
      </c>
      <c r="K91" s="673">
        <v>924.5</v>
      </c>
      <c r="L91" s="673">
        <v>3000.93</v>
      </c>
      <c r="M91" s="673">
        <v>2295.91</v>
      </c>
      <c r="N91" s="673">
        <v>1263.29</v>
      </c>
      <c r="O91" s="673">
        <v>1943.78</v>
      </c>
      <c r="P91" s="673">
        <v>647.14</v>
      </c>
      <c r="Q91" s="673">
        <v>613.69000000000005</v>
      </c>
      <c r="R91" s="673">
        <v>587.54</v>
      </c>
      <c r="S91" s="656">
        <f t="shared" si="7"/>
        <v>17264.990000000002</v>
      </c>
      <c r="T91" s="617">
        <f t="shared" ca="1" si="10"/>
        <v>-912</v>
      </c>
      <c r="U91" s="611">
        <v>43470</v>
      </c>
      <c r="V91" s="345" t="s">
        <v>2095</v>
      </c>
      <c r="W91" s="612"/>
      <c r="X91" s="613"/>
      <c r="Y91" s="613"/>
      <c r="Z91" s="613"/>
      <c r="AA91" s="613"/>
      <c r="AB91" s="613"/>
      <c r="AC91" s="616"/>
      <c r="AD91" s="346">
        <v>42374</v>
      </c>
      <c r="AE91" s="618">
        <f t="shared" ca="1" si="9"/>
        <v>-184</v>
      </c>
      <c r="AF91" s="339" t="s">
        <v>54</v>
      </c>
    </row>
    <row r="92" spans="1:32" s="541" customFormat="1" ht="38.25" x14ac:dyDescent="0.2">
      <c r="A92" s="646" t="s">
        <v>1756</v>
      </c>
      <c r="B92" s="339"/>
      <c r="C92" s="339" t="s">
        <v>1757</v>
      </c>
      <c r="D92" s="340" t="s">
        <v>1849</v>
      </c>
      <c r="E92" s="340" t="s">
        <v>1798</v>
      </c>
      <c r="F92" s="365" t="s">
        <v>314</v>
      </c>
      <c r="G92" s="673">
        <v>0</v>
      </c>
      <c r="H92" s="673">
        <v>0</v>
      </c>
      <c r="I92" s="673">
        <v>0</v>
      </c>
      <c r="J92" s="673">
        <v>0</v>
      </c>
      <c r="K92" s="673">
        <v>0</v>
      </c>
      <c r="L92" s="673">
        <v>0</v>
      </c>
      <c r="M92" s="673">
        <v>0</v>
      </c>
      <c r="N92" s="673">
        <v>207.6</v>
      </c>
      <c r="O92" s="673">
        <v>0</v>
      </c>
      <c r="P92" s="673">
        <v>0</v>
      </c>
      <c r="Q92" s="673">
        <v>0</v>
      </c>
      <c r="R92" s="673">
        <v>0</v>
      </c>
      <c r="S92" s="656">
        <f t="shared" si="7"/>
        <v>207.6</v>
      </c>
      <c r="T92" s="617">
        <f t="shared" ca="1" si="10"/>
        <v>-1286</v>
      </c>
      <c r="U92" s="611">
        <v>43096</v>
      </c>
      <c r="V92" s="345" t="s">
        <v>2000</v>
      </c>
      <c r="W92" s="612"/>
      <c r="X92" s="613"/>
      <c r="Y92" s="613"/>
      <c r="Z92" s="613"/>
      <c r="AA92" s="613"/>
      <c r="AB92" s="613"/>
      <c r="AC92" s="616">
        <v>43045</v>
      </c>
      <c r="AD92" s="346">
        <v>42366</v>
      </c>
      <c r="AE92" s="618">
        <f t="shared" ca="1" si="9"/>
        <v>-176</v>
      </c>
      <c r="AF92" s="339" t="s">
        <v>1763</v>
      </c>
    </row>
    <row r="93" spans="1:32" s="541" customFormat="1" ht="38.25" x14ac:dyDescent="0.2">
      <c r="A93" s="646" t="s">
        <v>1756</v>
      </c>
      <c r="B93" s="339"/>
      <c r="C93" s="339" t="s">
        <v>1757</v>
      </c>
      <c r="D93" s="340" t="s">
        <v>1853</v>
      </c>
      <c r="E93" s="340" t="s">
        <v>1798</v>
      </c>
      <c r="F93" s="365" t="s">
        <v>314</v>
      </c>
      <c r="G93" s="673">
        <v>0</v>
      </c>
      <c r="H93" s="673">
        <v>0</v>
      </c>
      <c r="I93" s="673">
        <v>0</v>
      </c>
      <c r="J93" s="673">
        <v>0</v>
      </c>
      <c r="K93" s="673">
        <v>0</v>
      </c>
      <c r="L93" s="673">
        <v>0</v>
      </c>
      <c r="M93" s="673">
        <v>0</v>
      </c>
      <c r="N93" s="673">
        <v>0</v>
      </c>
      <c r="O93" s="673">
        <v>0</v>
      </c>
      <c r="P93" s="673">
        <v>0</v>
      </c>
      <c r="Q93" s="673">
        <v>0</v>
      </c>
      <c r="R93" s="673">
        <v>0</v>
      </c>
      <c r="S93" s="656">
        <f t="shared" si="7"/>
        <v>0</v>
      </c>
      <c r="T93" s="617">
        <f t="shared" ca="1" si="10"/>
        <v>-1286</v>
      </c>
      <c r="U93" s="611">
        <v>43096</v>
      </c>
      <c r="V93" s="345" t="s">
        <v>2014</v>
      </c>
      <c r="W93" s="612"/>
      <c r="X93" s="613"/>
      <c r="Y93" s="613"/>
      <c r="Z93" s="613"/>
      <c r="AA93" s="613"/>
      <c r="AB93" s="613"/>
      <c r="AC93" s="616">
        <v>43045</v>
      </c>
      <c r="AD93" s="346">
        <v>42366</v>
      </c>
      <c r="AE93" s="618">
        <f t="shared" ca="1" si="9"/>
        <v>-176</v>
      </c>
      <c r="AF93" s="339" t="s">
        <v>1763</v>
      </c>
    </row>
    <row r="94" spans="1:32" s="541" customFormat="1" ht="38.25" x14ac:dyDescent="0.2">
      <c r="A94" s="646" t="s">
        <v>1756</v>
      </c>
      <c r="B94" s="339"/>
      <c r="C94" s="339" t="s">
        <v>1757</v>
      </c>
      <c r="D94" s="340" t="s">
        <v>1854</v>
      </c>
      <c r="E94" s="340" t="s">
        <v>1798</v>
      </c>
      <c r="F94" s="365" t="s">
        <v>314</v>
      </c>
      <c r="G94" s="673">
        <v>0</v>
      </c>
      <c r="H94" s="673">
        <v>0</v>
      </c>
      <c r="I94" s="673">
        <v>0</v>
      </c>
      <c r="J94" s="673">
        <v>0</v>
      </c>
      <c r="K94" s="673">
        <v>0</v>
      </c>
      <c r="L94" s="673">
        <v>0</v>
      </c>
      <c r="M94" s="673">
        <v>0</v>
      </c>
      <c r="N94" s="673">
        <v>0</v>
      </c>
      <c r="O94" s="673">
        <v>0</v>
      </c>
      <c r="P94" s="673">
        <v>0</v>
      </c>
      <c r="Q94" s="673">
        <v>0</v>
      </c>
      <c r="R94" s="673">
        <v>0</v>
      </c>
      <c r="S94" s="656">
        <f t="shared" si="7"/>
        <v>0</v>
      </c>
      <c r="T94" s="617">
        <f t="shared" ca="1" si="10"/>
        <v>-1651</v>
      </c>
      <c r="U94" s="611">
        <v>42731</v>
      </c>
      <c r="V94" s="345" t="s">
        <v>1850</v>
      </c>
      <c r="W94" s="612"/>
      <c r="X94" s="613"/>
      <c r="Y94" s="613"/>
      <c r="Z94" s="613"/>
      <c r="AA94" s="613"/>
      <c r="AB94" s="613"/>
      <c r="AC94" s="616">
        <v>42669</v>
      </c>
      <c r="AD94" s="346">
        <v>42366</v>
      </c>
      <c r="AE94" s="618">
        <f t="shared" ca="1" si="9"/>
        <v>-176</v>
      </c>
      <c r="AF94" s="339" t="s">
        <v>1763</v>
      </c>
    </row>
    <row r="95" spans="1:32" s="541" customFormat="1" ht="38.25" x14ac:dyDescent="0.2">
      <c r="A95" s="646" t="s">
        <v>1756</v>
      </c>
      <c r="B95" s="339"/>
      <c r="C95" s="339" t="s">
        <v>1757</v>
      </c>
      <c r="D95" s="340" t="s">
        <v>1855</v>
      </c>
      <c r="E95" s="340" t="s">
        <v>1798</v>
      </c>
      <c r="F95" s="365" t="s">
        <v>314</v>
      </c>
      <c r="G95" s="673">
        <v>300</v>
      </c>
      <c r="H95" s="673">
        <v>0</v>
      </c>
      <c r="I95" s="673">
        <v>0</v>
      </c>
      <c r="J95" s="673">
        <v>0</v>
      </c>
      <c r="K95" s="673">
        <v>0</v>
      </c>
      <c r="L95" s="673">
        <v>0</v>
      </c>
      <c r="M95" s="673">
        <v>0</v>
      </c>
      <c r="N95" s="673">
        <v>934.88</v>
      </c>
      <c r="O95" s="673">
        <v>0</v>
      </c>
      <c r="P95" s="673">
        <v>0</v>
      </c>
      <c r="Q95" s="673">
        <v>0</v>
      </c>
      <c r="R95" s="673">
        <v>0</v>
      </c>
      <c r="S95" s="656">
        <f t="shared" si="7"/>
        <v>1234.8800000000001</v>
      </c>
      <c r="T95" s="610">
        <f t="shared" ca="1" si="10"/>
        <v>-1207</v>
      </c>
      <c r="U95" s="611">
        <v>43175</v>
      </c>
      <c r="V95" s="345" t="s">
        <v>2014</v>
      </c>
      <c r="W95" s="612"/>
      <c r="X95" s="613"/>
      <c r="Y95" s="613"/>
      <c r="Z95" s="613"/>
      <c r="AA95" s="613"/>
      <c r="AB95" s="613"/>
      <c r="AC95" s="616"/>
      <c r="AD95" s="346">
        <v>42446</v>
      </c>
      <c r="AE95" s="614">
        <f t="shared" ca="1" si="9"/>
        <v>-255</v>
      </c>
      <c r="AF95" s="339" t="s">
        <v>1763</v>
      </c>
    </row>
    <row r="96" spans="1:32" s="541" customFormat="1" ht="51" x14ac:dyDescent="0.2">
      <c r="A96" s="646" t="s">
        <v>1857</v>
      </c>
      <c r="B96" s="339"/>
      <c r="C96" s="339" t="s">
        <v>1858</v>
      </c>
      <c r="D96" s="340" t="s">
        <v>1654</v>
      </c>
      <c r="E96" s="340" t="s">
        <v>1859</v>
      </c>
      <c r="F96" s="365" t="s">
        <v>1861</v>
      </c>
      <c r="G96" s="673">
        <v>0</v>
      </c>
      <c r="H96" s="673">
        <v>0</v>
      </c>
      <c r="I96" s="673">
        <v>74100</v>
      </c>
      <c r="J96" s="673">
        <f>3445.65+1111.5</f>
        <v>4557.1499999999996</v>
      </c>
      <c r="K96" s="673">
        <v>0</v>
      </c>
      <c r="L96" s="673">
        <v>0</v>
      </c>
      <c r="M96" s="673">
        <v>0</v>
      </c>
      <c r="N96" s="673">
        <v>0</v>
      </c>
      <c r="O96" s="673">
        <v>0</v>
      </c>
      <c r="P96" s="673">
        <v>0</v>
      </c>
      <c r="Q96" s="673">
        <v>0</v>
      </c>
      <c r="R96" s="673">
        <v>0</v>
      </c>
      <c r="S96" s="656">
        <f t="shared" si="7"/>
        <v>78657.149999999994</v>
      </c>
      <c r="T96" s="617">
        <f t="shared" ca="1" si="10"/>
        <v>-841</v>
      </c>
      <c r="U96" s="611">
        <v>43541</v>
      </c>
      <c r="V96" s="345" t="s">
        <v>1862</v>
      </c>
      <c r="W96" s="612"/>
      <c r="X96" s="613"/>
      <c r="Y96" s="613"/>
      <c r="Z96" s="613"/>
      <c r="AA96" s="613"/>
      <c r="AB96" s="613"/>
      <c r="AC96" s="616"/>
      <c r="AD96" s="346">
        <v>42447</v>
      </c>
      <c r="AE96" s="618">
        <f t="shared" ca="1" si="9"/>
        <v>-256</v>
      </c>
      <c r="AF96" s="339" t="s">
        <v>41</v>
      </c>
    </row>
    <row r="97" spans="1:32" s="541" customFormat="1" ht="51" x14ac:dyDescent="0.2">
      <c r="A97" s="646" t="s">
        <v>1756</v>
      </c>
      <c r="B97" s="339"/>
      <c r="C97" s="339" t="s">
        <v>1757</v>
      </c>
      <c r="D97" s="340" t="s">
        <v>1868</v>
      </c>
      <c r="E97" s="340" t="s">
        <v>1798</v>
      </c>
      <c r="F97" s="365">
        <v>0</v>
      </c>
      <c r="G97" s="673">
        <v>0</v>
      </c>
      <c r="H97" s="673">
        <v>0</v>
      </c>
      <c r="I97" s="673">
        <v>0</v>
      </c>
      <c r="J97" s="673">
        <v>0</v>
      </c>
      <c r="K97" s="673">
        <v>0</v>
      </c>
      <c r="L97" s="673">
        <v>0</v>
      </c>
      <c r="M97" s="673">
        <v>0</v>
      </c>
      <c r="N97" s="673">
        <v>0</v>
      </c>
      <c r="O97" s="673">
        <v>0</v>
      </c>
      <c r="P97" s="673">
        <v>0</v>
      </c>
      <c r="Q97" s="673">
        <v>0</v>
      </c>
      <c r="R97" s="673">
        <v>0</v>
      </c>
      <c r="S97" s="656">
        <f t="shared" si="7"/>
        <v>0</v>
      </c>
      <c r="T97" s="610">
        <f t="shared" ca="1" si="10"/>
        <v>-1533</v>
      </c>
      <c r="U97" s="611">
        <v>42849</v>
      </c>
      <c r="V97" s="615" t="s">
        <v>1869</v>
      </c>
      <c r="W97" s="612"/>
      <c r="X97" s="613"/>
      <c r="Y97" s="613"/>
      <c r="Z97" s="613"/>
      <c r="AA97" s="613"/>
      <c r="AB97" s="613"/>
      <c r="AC97" s="616">
        <v>42790</v>
      </c>
      <c r="AD97" s="346">
        <v>42485</v>
      </c>
      <c r="AE97" s="614">
        <f t="shared" ca="1" si="9"/>
        <v>-294</v>
      </c>
      <c r="AF97" s="339" t="s">
        <v>1763</v>
      </c>
    </row>
    <row r="98" spans="1:32" s="541" customFormat="1" ht="38.25" x14ac:dyDescent="0.2">
      <c r="A98" s="646" t="s">
        <v>1756</v>
      </c>
      <c r="B98" s="339"/>
      <c r="C98" s="339" t="s">
        <v>1757</v>
      </c>
      <c r="D98" s="340" t="s">
        <v>1870</v>
      </c>
      <c r="E98" s="340" t="s">
        <v>1798</v>
      </c>
      <c r="F98" s="365">
        <v>0</v>
      </c>
      <c r="G98" s="673">
        <v>0</v>
      </c>
      <c r="H98" s="673">
        <v>0</v>
      </c>
      <c r="I98" s="673">
        <v>0</v>
      </c>
      <c r="J98" s="673">
        <v>0</v>
      </c>
      <c r="K98" s="673">
        <v>0</v>
      </c>
      <c r="L98" s="673">
        <v>0</v>
      </c>
      <c r="M98" s="673">
        <v>0</v>
      </c>
      <c r="N98" s="673">
        <v>0</v>
      </c>
      <c r="O98" s="673">
        <v>0</v>
      </c>
      <c r="P98" s="673">
        <v>0</v>
      </c>
      <c r="Q98" s="673">
        <v>0</v>
      </c>
      <c r="R98" s="673">
        <v>0</v>
      </c>
      <c r="S98" s="656">
        <f t="shared" si="7"/>
        <v>0</v>
      </c>
      <c r="T98" s="610">
        <f t="shared" ca="1" si="10"/>
        <v>-1553</v>
      </c>
      <c r="U98" s="611">
        <v>42829</v>
      </c>
      <c r="V98" s="615" t="s">
        <v>1869</v>
      </c>
      <c r="W98" s="612"/>
      <c r="X98" s="613"/>
      <c r="Y98" s="613"/>
      <c r="Z98" s="613"/>
      <c r="AA98" s="613"/>
      <c r="AB98" s="613"/>
      <c r="AC98" s="616">
        <v>42775</v>
      </c>
      <c r="AD98" s="346">
        <v>42485</v>
      </c>
      <c r="AE98" s="614">
        <f t="shared" ca="1" si="9"/>
        <v>-294</v>
      </c>
      <c r="AF98" s="339" t="s">
        <v>1763</v>
      </c>
    </row>
    <row r="99" spans="1:32" s="541" customFormat="1" ht="38.25" x14ac:dyDescent="0.2">
      <c r="A99" s="646" t="s">
        <v>1756</v>
      </c>
      <c r="B99" s="339"/>
      <c r="C99" s="339" t="s">
        <v>1757</v>
      </c>
      <c r="D99" s="340" t="s">
        <v>1874</v>
      </c>
      <c r="E99" s="340" t="s">
        <v>1798</v>
      </c>
      <c r="F99" s="365">
        <v>0</v>
      </c>
      <c r="G99" s="673">
        <v>0</v>
      </c>
      <c r="H99" s="673">
        <v>0</v>
      </c>
      <c r="I99" s="673">
        <v>0</v>
      </c>
      <c r="J99" s="673">
        <v>0</v>
      </c>
      <c r="K99" s="673">
        <v>0</v>
      </c>
      <c r="L99" s="673">
        <v>0</v>
      </c>
      <c r="M99" s="673">
        <v>0</v>
      </c>
      <c r="N99" s="673">
        <v>0</v>
      </c>
      <c r="O99" s="673">
        <v>0</v>
      </c>
      <c r="P99" s="673">
        <v>0</v>
      </c>
      <c r="Q99" s="673">
        <v>0</v>
      </c>
      <c r="R99" s="673">
        <v>0</v>
      </c>
      <c r="S99" s="656">
        <f t="shared" si="7"/>
        <v>0</v>
      </c>
      <c r="T99" s="610">
        <f t="shared" ca="1" si="10"/>
        <v>-1152</v>
      </c>
      <c r="U99" s="611">
        <v>43230</v>
      </c>
      <c r="V99" s="345" t="s">
        <v>2051</v>
      </c>
      <c r="W99" s="612"/>
      <c r="X99" s="613"/>
      <c r="Y99" s="613"/>
      <c r="Z99" s="613"/>
      <c r="AA99" s="613"/>
      <c r="AB99" s="613"/>
      <c r="AC99" s="616"/>
      <c r="AD99" s="346">
        <v>42492</v>
      </c>
      <c r="AE99" s="614">
        <f t="shared" ca="1" si="9"/>
        <v>-301</v>
      </c>
      <c r="AF99" s="339" t="s">
        <v>1763</v>
      </c>
    </row>
    <row r="100" spans="1:32" s="541" customFormat="1" ht="38.25" x14ac:dyDescent="0.2">
      <c r="A100" s="646" t="s">
        <v>1756</v>
      </c>
      <c r="B100" s="339"/>
      <c r="C100" s="339" t="s">
        <v>1757</v>
      </c>
      <c r="D100" s="340" t="s">
        <v>1875</v>
      </c>
      <c r="E100" s="340" t="s">
        <v>1798</v>
      </c>
      <c r="F100" s="365">
        <v>0</v>
      </c>
      <c r="G100" s="673">
        <v>0</v>
      </c>
      <c r="H100" s="673">
        <v>0</v>
      </c>
      <c r="I100" s="673">
        <v>0</v>
      </c>
      <c r="J100" s="673">
        <v>0</v>
      </c>
      <c r="K100" s="673">
        <v>0</v>
      </c>
      <c r="L100" s="673">
        <v>0</v>
      </c>
      <c r="M100" s="673">
        <v>0</v>
      </c>
      <c r="N100" s="673">
        <v>0</v>
      </c>
      <c r="O100" s="673">
        <v>0</v>
      </c>
      <c r="P100" s="673">
        <v>0</v>
      </c>
      <c r="Q100" s="673">
        <v>0</v>
      </c>
      <c r="R100" s="673">
        <v>0</v>
      </c>
      <c r="S100" s="656">
        <f t="shared" ref="S100:S135" si="11">SUM(G100:R100)</f>
        <v>0</v>
      </c>
      <c r="T100" s="610">
        <f t="shared" ca="1" si="10"/>
        <v>-1524</v>
      </c>
      <c r="U100" s="611">
        <v>42858</v>
      </c>
      <c r="V100" s="615" t="s">
        <v>1877</v>
      </c>
      <c r="W100" s="612"/>
      <c r="X100" s="613"/>
      <c r="Y100" s="613"/>
      <c r="Z100" s="613"/>
      <c r="AA100" s="613"/>
      <c r="AB100" s="613"/>
      <c r="AC100" s="616">
        <v>42802</v>
      </c>
      <c r="AD100" s="346">
        <v>42494</v>
      </c>
      <c r="AE100" s="614">
        <f t="shared" ca="1" si="9"/>
        <v>-303</v>
      </c>
      <c r="AF100" s="339" t="s">
        <v>1763</v>
      </c>
    </row>
    <row r="101" spans="1:32" s="541" customFormat="1" ht="38.25" x14ac:dyDescent="0.2">
      <c r="A101" s="646" t="s">
        <v>1756</v>
      </c>
      <c r="B101" s="339"/>
      <c r="C101" s="339" t="s">
        <v>1757</v>
      </c>
      <c r="D101" s="340" t="s">
        <v>1906</v>
      </c>
      <c r="E101" s="340" t="s">
        <v>1798</v>
      </c>
      <c r="F101" s="365">
        <v>0</v>
      </c>
      <c r="G101" s="673">
        <v>0</v>
      </c>
      <c r="H101" s="673">
        <v>0</v>
      </c>
      <c r="I101" s="673">
        <v>0</v>
      </c>
      <c r="J101" s="673">
        <v>0</v>
      </c>
      <c r="K101" s="673">
        <v>0</v>
      </c>
      <c r="L101" s="673">
        <v>0</v>
      </c>
      <c r="M101" s="673">
        <v>0</v>
      </c>
      <c r="N101" s="673">
        <v>0</v>
      </c>
      <c r="O101" s="673">
        <v>0</v>
      </c>
      <c r="P101" s="673">
        <v>0</v>
      </c>
      <c r="Q101" s="673">
        <v>0</v>
      </c>
      <c r="R101" s="673">
        <v>0</v>
      </c>
      <c r="S101" s="656">
        <f t="shared" si="11"/>
        <v>0</v>
      </c>
      <c r="T101" s="610">
        <f t="shared" ca="1" si="10"/>
        <v>-1152</v>
      </c>
      <c r="U101" s="611">
        <v>43230</v>
      </c>
      <c r="V101" s="345" t="s">
        <v>2051</v>
      </c>
      <c r="W101" s="612"/>
      <c r="X101" s="613"/>
      <c r="Y101" s="613"/>
      <c r="Z101" s="613"/>
      <c r="AA101" s="613"/>
      <c r="AB101" s="613"/>
      <c r="AC101" s="616"/>
      <c r="AD101" s="346">
        <v>42501</v>
      </c>
      <c r="AE101" s="614">
        <f t="shared" ca="1" si="9"/>
        <v>-310</v>
      </c>
      <c r="AF101" s="339" t="s">
        <v>1763</v>
      </c>
    </row>
    <row r="102" spans="1:32" s="541" customFormat="1" ht="25.5" x14ac:dyDescent="0.2">
      <c r="A102" s="646" t="s">
        <v>1895</v>
      </c>
      <c r="B102" s="339" t="s">
        <v>1896</v>
      </c>
      <c r="C102" s="339"/>
      <c r="D102" s="340" t="s">
        <v>1897</v>
      </c>
      <c r="E102" s="340" t="s">
        <v>2035</v>
      </c>
      <c r="F102" s="365">
        <v>7990</v>
      </c>
      <c r="G102" s="673">
        <v>0</v>
      </c>
      <c r="H102" s="673">
        <v>0</v>
      </c>
      <c r="I102" s="673">
        <v>0</v>
      </c>
      <c r="J102" s="673">
        <v>0</v>
      </c>
      <c r="K102" s="673">
        <v>0</v>
      </c>
      <c r="L102" s="673">
        <v>0</v>
      </c>
      <c r="M102" s="673">
        <v>7990</v>
      </c>
      <c r="N102" s="673">
        <v>0</v>
      </c>
      <c r="O102" s="673">
        <v>0</v>
      </c>
      <c r="P102" s="673">
        <v>0</v>
      </c>
      <c r="Q102" s="673">
        <v>0</v>
      </c>
      <c r="R102" s="673">
        <v>0</v>
      </c>
      <c r="S102" s="656">
        <f t="shared" si="11"/>
        <v>7990</v>
      </c>
      <c r="T102" s="610">
        <f t="shared" ca="1" si="10"/>
        <v>-1296</v>
      </c>
      <c r="U102" s="611">
        <v>43086</v>
      </c>
      <c r="V102" s="615" t="s">
        <v>2036</v>
      </c>
      <c r="W102" s="612"/>
      <c r="X102" s="613"/>
      <c r="Y102" s="613"/>
      <c r="Z102" s="613"/>
      <c r="AA102" s="613"/>
      <c r="AB102" s="613"/>
      <c r="AC102" s="616">
        <v>43027</v>
      </c>
      <c r="AD102" s="346">
        <v>42550</v>
      </c>
      <c r="AE102" s="614">
        <f t="shared" ca="1" si="9"/>
        <v>-359</v>
      </c>
      <c r="AF102" s="339" t="s">
        <v>48</v>
      </c>
    </row>
    <row r="103" spans="1:32" s="541" customFormat="1" ht="51" x14ac:dyDescent="0.2">
      <c r="A103" s="646" t="s">
        <v>1899</v>
      </c>
      <c r="B103" s="339" t="s">
        <v>1896</v>
      </c>
      <c r="C103" s="339"/>
      <c r="D103" s="340" t="s">
        <v>1900</v>
      </c>
      <c r="E103" s="340" t="s">
        <v>1901</v>
      </c>
      <c r="F103" s="365">
        <v>6707.2</v>
      </c>
      <c r="G103" s="673">
        <v>464.4</v>
      </c>
      <c r="H103" s="673">
        <v>272.39999999999998</v>
      </c>
      <c r="I103" s="673">
        <v>422.4</v>
      </c>
      <c r="J103" s="673">
        <v>729.6</v>
      </c>
      <c r="K103" s="673">
        <v>289.2</v>
      </c>
      <c r="L103" s="673">
        <v>727.2</v>
      </c>
      <c r="M103" s="673">
        <v>685.2</v>
      </c>
      <c r="N103" s="673">
        <v>415.2</v>
      </c>
      <c r="O103" s="673">
        <v>347.05</v>
      </c>
      <c r="P103" s="673">
        <v>320.39999999999998</v>
      </c>
      <c r="Q103" s="673">
        <v>308.39999999999998</v>
      </c>
      <c r="R103" s="673">
        <v>157.19999999999999</v>
      </c>
      <c r="S103" s="656">
        <f t="shared" si="11"/>
        <v>5138.6499999999987</v>
      </c>
      <c r="T103" s="610">
        <f t="shared" ca="1" si="10"/>
        <v>-1083</v>
      </c>
      <c r="U103" s="611">
        <v>43299</v>
      </c>
      <c r="V103" s="345" t="s">
        <v>2045</v>
      </c>
      <c r="W103" s="612"/>
      <c r="X103" s="613"/>
      <c r="Y103" s="613"/>
      <c r="Z103" s="613"/>
      <c r="AA103" s="613"/>
      <c r="AB103" s="613"/>
      <c r="AC103" s="616"/>
      <c r="AD103" s="346">
        <v>42569</v>
      </c>
      <c r="AE103" s="614">
        <f t="shared" ca="1" si="9"/>
        <v>-378</v>
      </c>
      <c r="AF103" s="339" t="s">
        <v>48</v>
      </c>
    </row>
    <row r="104" spans="1:32" s="541" customFormat="1" ht="76.5" x14ac:dyDescent="0.2">
      <c r="A104" s="646" t="s">
        <v>1904</v>
      </c>
      <c r="B104" s="339"/>
      <c r="C104" s="339" t="s">
        <v>1905</v>
      </c>
      <c r="D104" s="340" t="s">
        <v>1906</v>
      </c>
      <c r="E104" s="340" t="s">
        <v>1984</v>
      </c>
      <c r="F104" s="365" t="s">
        <v>1907</v>
      </c>
      <c r="G104" s="673">
        <v>14406.41</v>
      </c>
      <c r="H104" s="673">
        <v>8699.5499999999993</v>
      </c>
      <c r="I104" s="673">
        <v>16598.009999999998</v>
      </c>
      <c r="J104" s="673">
        <v>18590.57</v>
      </c>
      <c r="K104" s="673">
        <v>15199.42</v>
      </c>
      <c r="L104" s="673">
        <v>20967.13</v>
      </c>
      <c r="M104" s="673">
        <v>19896.96</v>
      </c>
      <c r="N104" s="673">
        <v>17828.11</v>
      </c>
      <c r="O104" s="673">
        <v>22355.39</v>
      </c>
      <c r="P104" s="673">
        <v>19030.439999999999</v>
      </c>
      <c r="Q104" s="673">
        <v>21099.42</v>
      </c>
      <c r="R104" s="673">
        <v>10849.05</v>
      </c>
      <c r="S104" s="656">
        <f t="shared" si="11"/>
        <v>205520.46000000002</v>
      </c>
      <c r="T104" s="610">
        <f t="shared" ca="1" si="10"/>
        <v>-1073</v>
      </c>
      <c r="U104" s="611">
        <v>43309</v>
      </c>
      <c r="V104" s="345" t="s">
        <v>2053</v>
      </c>
      <c r="W104" s="612"/>
      <c r="X104" s="613"/>
      <c r="Y104" s="613"/>
      <c r="Z104" s="613"/>
      <c r="AA104" s="613"/>
      <c r="AB104" s="613"/>
      <c r="AC104" s="616"/>
      <c r="AD104" s="346">
        <v>42580</v>
      </c>
      <c r="AE104" s="614">
        <f t="shared" ca="1" si="9"/>
        <v>-389</v>
      </c>
      <c r="AF104" s="339" t="s">
        <v>29</v>
      </c>
    </row>
    <row r="105" spans="1:32" s="541" customFormat="1" ht="38.25" x14ac:dyDescent="0.2">
      <c r="A105" s="646" t="s">
        <v>1756</v>
      </c>
      <c r="B105" s="339"/>
      <c r="C105" s="339" t="s">
        <v>1757</v>
      </c>
      <c r="D105" s="340" t="s">
        <v>1913</v>
      </c>
      <c r="E105" s="340" t="s">
        <v>1798</v>
      </c>
      <c r="F105" s="365">
        <v>0</v>
      </c>
      <c r="G105" s="673">
        <v>0</v>
      </c>
      <c r="H105" s="673">
        <v>0</v>
      </c>
      <c r="I105" s="673">
        <v>0</v>
      </c>
      <c r="J105" s="673">
        <v>0</v>
      </c>
      <c r="K105" s="673">
        <v>0</v>
      </c>
      <c r="L105" s="673">
        <v>0</v>
      </c>
      <c r="M105" s="673">
        <v>0</v>
      </c>
      <c r="N105" s="673">
        <v>0</v>
      </c>
      <c r="O105" s="673">
        <v>0</v>
      </c>
      <c r="P105" s="673">
        <v>0</v>
      </c>
      <c r="Q105" s="673">
        <v>0</v>
      </c>
      <c r="R105" s="673">
        <v>0</v>
      </c>
      <c r="S105" s="656">
        <f t="shared" si="11"/>
        <v>0</v>
      </c>
      <c r="T105" s="617">
        <f t="shared" ca="1" si="10"/>
        <v>-1048</v>
      </c>
      <c r="U105" s="611">
        <v>43334</v>
      </c>
      <c r="V105" s="345" t="s">
        <v>2108</v>
      </c>
      <c r="W105" s="612"/>
      <c r="X105" s="613"/>
      <c r="Y105" s="613"/>
      <c r="Z105" s="613"/>
      <c r="AA105" s="613"/>
      <c r="AB105" s="613"/>
      <c r="AC105" s="616"/>
      <c r="AD105" s="346">
        <v>42605</v>
      </c>
      <c r="AE105" s="618">
        <f t="shared" ca="1" si="9"/>
        <v>-414</v>
      </c>
      <c r="AF105" s="339" t="s">
        <v>1988</v>
      </c>
    </row>
    <row r="106" spans="1:32" s="541" customFormat="1" ht="38.25" x14ac:dyDescent="0.2">
      <c r="A106" s="646" t="s">
        <v>1916</v>
      </c>
      <c r="B106" s="339"/>
      <c r="C106" s="339" t="s">
        <v>1917</v>
      </c>
      <c r="D106" s="340" t="s">
        <v>1918</v>
      </c>
      <c r="E106" s="340" t="s">
        <v>1919</v>
      </c>
      <c r="F106" s="365">
        <v>0</v>
      </c>
      <c r="G106" s="673">
        <v>900</v>
      </c>
      <c r="H106" s="673">
        <v>0</v>
      </c>
      <c r="I106" s="673">
        <v>0</v>
      </c>
      <c r="J106" s="673">
        <v>0</v>
      </c>
      <c r="K106" s="673">
        <v>0</v>
      </c>
      <c r="L106" s="673">
        <v>0</v>
      </c>
      <c r="M106" s="673">
        <v>0</v>
      </c>
      <c r="N106" s="673">
        <v>2290</v>
      </c>
      <c r="O106" s="673">
        <v>0</v>
      </c>
      <c r="P106" s="673">
        <v>0</v>
      </c>
      <c r="Q106" s="673">
        <v>0</v>
      </c>
      <c r="R106" s="673">
        <v>0</v>
      </c>
      <c r="S106" s="656">
        <f t="shared" si="11"/>
        <v>3190</v>
      </c>
      <c r="T106" s="617">
        <f t="shared" ca="1" si="10"/>
        <v>-1048</v>
      </c>
      <c r="U106" s="611">
        <v>43334</v>
      </c>
      <c r="V106" s="345" t="s">
        <v>2100</v>
      </c>
      <c r="W106" s="612"/>
      <c r="X106" s="613"/>
      <c r="Y106" s="613"/>
      <c r="Z106" s="613"/>
      <c r="AA106" s="613"/>
      <c r="AB106" s="613"/>
      <c r="AC106" s="616"/>
      <c r="AD106" s="346">
        <v>42605</v>
      </c>
      <c r="AE106" s="618">
        <f t="shared" ca="1" si="9"/>
        <v>-414</v>
      </c>
      <c r="AF106" s="339"/>
    </row>
    <row r="107" spans="1:32" s="541" customFormat="1" ht="38.25" x14ac:dyDescent="0.2">
      <c r="A107" s="646" t="s">
        <v>1916</v>
      </c>
      <c r="B107" s="339"/>
      <c r="C107" s="339" t="s">
        <v>1917</v>
      </c>
      <c r="D107" s="340" t="s">
        <v>1920</v>
      </c>
      <c r="E107" s="340" t="s">
        <v>1919</v>
      </c>
      <c r="F107" s="365">
        <v>0</v>
      </c>
      <c r="G107" s="673">
        <v>0</v>
      </c>
      <c r="H107" s="673">
        <v>0</v>
      </c>
      <c r="I107" s="673">
        <v>1600</v>
      </c>
      <c r="J107" s="673">
        <v>0</v>
      </c>
      <c r="K107" s="673">
        <v>0</v>
      </c>
      <c r="L107" s="673">
        <v>0</v>
      </c>
      <c r="M107" s="673">
        <v>0</v>
      </c>
      <c r="N107" s="673">
        <v>0</v>
      </c>
      <c r="O107" s="673">
        <v>0</v>
      </c>
      <c r="P107" s="673">
        <v>1066</v>
      </c>
      <c r="Q107" s="673">
        <v>0</v>
      </c>
      <c r="R107" s="673">
        <v>0</v>
      </c>
      <c r="S107" s="656">
        <f t="shared" si="11"/>
        <v>2666</v>
      </c>
      <c r="T107" s="617">
        <f t="shared" ca="1" si="10"/>
        <v>-1048</v>
      </c>
      <c r="U107" s="611">
        <v>43334</v>
      </c>
      <c r="V107" s="345" t="s">
        <v>2100</v>
      </c>
      <c r="W107" s="612"/>
      <c r="X107" s="613"/>
      <c r="Y107" s="613"/>
      <c r="Z107" s="613"/>
      <c r="AA107" s="613"/>
      <c r="AB107" s="613"/>
      <c r="AC107" s="616"/>
      <c r="AD107" s="346">
        <v>42605</v>
      </c>
      <c r="AE107" s="618">
        <f t="shared" ca="1" si="9"/>
        <v>-414</v>
      </c>
      <c r="AF107" s="339"/>
    </row>
    <row r="108" spans="1:32" s="541" customFormat="1" ht="38.25" x14ac:dyDescent="0.2">
      <c r="A108" s="646" t="s">
        <v>1916</v>
      </c>
      <c r="B108" s="339"/>
      <c r="C108" s="339" t="s">
        <v>1917</v>
      </c>
      <c r="D108" s="340" t="s">
        <v>1921</v>
      </c>
      <c r="E108" s="340" t="s">
        <v>1919</v>
      </c>
      <c r="F108" s="365">
        <v>0</v>
      </c>
      <c r="G108" s="673">
        <v>1500</v>
      </c>
      <c r="H108" s="673">
        <v>0</v>
      </c>
      <c r="I108" s="673">
        <v>0</v>
      </c>
      <c r="J108" s="673">
        <v>0</v>
      </c>
      <c r="K108" s="673">
        <v>0</v>
      </c>
      <c r="L108" s="673">
        <v>0</v>
      </c>
      <c r="M108" s="673">
        <v>0</v>
      </c>
      <c r="N108" s="673">
        <v>0</v>
      </c>
      <c r="O108" s="673">
        <v>0</v>
      </c>
      <c r="P108" s="673">
        <v>1061</v>
      </c>
      <c r="Q108" s="673">
        <v>0</v>
      </c>
      <c r="R108" s="673">
        <v>0</v>
      </c>
      <c r="S108" s="656">
        <f t="shared" si="11"/>
        <v>2561</v>
      </c>
      <c r="T108" s="617">
        <f t="shared" ca="1" si="10"/>
        <v>-1048</v>
      </c>
      <c r="U108" s="611">
        <v>43334</v>
      </c>
      <c r="V108" s="345" t="s">
        <v>2100</v>
      </c>
      <c r="W108" s="612"/>
      <c r="X108" s="613"/>
      <c r="Y108" s="613"/>
      <c r="Z108" s="613"/>
      <c r="AA108" s="613"/>
      <c r="AB108" s="613"/>
      <c r="AC108" s="616"/>
      <c r="AD108" s="346">
        <v>42605</v>
      </c>
      <c r="AE108" s="618">
        <f t="shared" ca="1" si="9"/>
        <v>-414</v>
      </c>
      <c r="AF108" s="339"/>
    </row>
    <row r="109" spans="1:32" s="541" customFormat="1" ht="38.25" x14ac:dyDescent="0.2">
      <c r="A109" s="646" t="s">
        <v>1916</v>
      </c>
      <c r="B109" s="339"/>
      <c r="C109" s="339" t="s">
        <v>1917</v>
      </c>
      <c r="D109" s="340" t="s">
        <v>1922</v>
      </c>
      <c r="E109" s="340" t="s">
        <v>1919</v>
      </c>
      <c r="F109" s="365">
        <v>0</v>
      </c>
      <c r="G109" s="673">
        <v>0</v>
      </c>
      <c r="H109" s="673">
        <v>1000</v>
      </c>
      <c r="I109" s="673">
        <v>0</v>
      </c>
      <c r="J109" s="673">
        <v>0</v>
      </c>
      <c r="K109" s="673">
        <v>500</v>
      </c>
      <c r="L109" s="673">
        <v>0</v>
      </c>
      <c r="M109" s="673">
        <v>0</v>
      </c>
      <c r="N109" s="673">
        <v>0</v>
      </c>
      <c r="O109" s="673">
        <v>0</v>
      </c>
      <c r="P109" s="673">
        <v>0</v>
      </c>
      <c r="Q109" s="673">
        <v>0</v>
      </c>
      <c r="R109" s="673">
        <v>0</v>
      </c>
      <c r="S109" s="656">
        <f t="shared" si="11"/>
        <v>1500</v>
      </c>
      <c r="T109" s="617">
        <f t="shared" ref="T109:T135" ca="1" si="12">U109-$AE$3</f>
        <v>-1048</v>
      </c>
      <c r="U109" s="611">
        <v>43334</v>
      </c>
      <c r="V109" s="345" t="s">
        <v>2100</v>
      </c>
      <c r="W109" s="612"/>
      <c r="X109" s="613"/>
      <c r="Y109" s="613"/>
      <c r="Z109" s="613"/>
      <c r="AA109" s="613"/>
      <c r="AB109" s="613"/>
      <c r="AC109" s="616"/>
      <c r="AD109" s="346">
        <v>42605</v>
      </c>
      <c r="AE109" s="618">
        <f t="shared" ca="1" si="9"/>
        <v>-414</v>
      </c>
      <c r="AF109" s="339"/>
    </row>
    <row r="110" spans="1:32" s="541" customFormat="1" ht="38.25" x14ac:dyDescent="0.2">
      <c r="A110" s="646" t="s">
        <v>1916</v>
      </c>
      <c r="B110" s="339"/>
      <c r="C110" s="339" t="s">
        <v>1917</v>
      </c>
      <c r="D110" s="340" t="s">
        <v>1923</v>
      </c>
      <c r="E110" s="340" t="s">
        <v>1919</v>
      </c>
      <c r="F110" s="365">
        <v>0</v>
      </c>
      <c r="G110" s="673">
        <v>0</v>
      </c>
      <c r="H110" s="673">
        <v>0</v>
      </c>
      <c r="I110" s="673">
        <v>0</v>
      </c>
      <c r="J110" s="673">
        <v>881.53</v>
      </c>
      <c r="K110" s="673">
        <v>0</v>
      </c>
      <c r="L110" s="673">
        <v>0</v>
      </c>
      <c r="M110" s="673">
        <v>0</v>
      </c>
      <c r="N110" s="673">
        <v>0</v>
      </c>
      <c r="O110" s="673">
        <v>0</v>
      </c>
      <c r="P110" s="673">
        <v>0</v>
      </c>
      <c r="Q110" s="673">
        <v>0</v>
      </c>
      <c r="R110" s="673">
        <v>0</v>
      </c>
      <c r="S110" s="656">
        <f t="shared" si="11"/>
        <v>881.53</v>
      </c>
      <c r="T110" s="617">
        <f t="shared" ca="1" si="12"/>
        <v>-1048</v>
      </c>
      <c r="U110" s="611">
        <v>43334</v>
      </c>
      <c r="V110" s="345" t="s">
        <v>2100</v>
      </c>
      <c r="W110" s="612"/>
      <c r="X110" s="613"/>
      <c r="Y110" s="613"/>
      <c r="Z110" s="613"/>
      <c r="AA110" s="613"/>
      <c r="AB110" s="613"/>
      <c r="AC110" s="616"/>
      <c r="AD110" s="346">
        <v>42605</v>
      </c>
      <c r="AE110" s="618">
        <f t="shared" ca="1" si="9"/>
        <v>-414</v>
      </c>
      <c r="AF110" s="339"/>
    </row>
    <row r="111" spans="1:32" s="541" customFormat="1" ht="38.25" x14ac:dyDescent="0.2">
      <c r="A111" s="646" t="s">
        <v>1916</v>
      </c>
      <c r="B111" s="339"/>
      <c r="C111" s="339" t="s">
        <v>1917</v>
      </c>
      <c r="D111" s="340" t="s">
        <v>1924</v>
      </c>
      <c r="E111" s="340" t="s">
        <v>1919</v>
      </c>
      <c r="F111" s="365">
        <v>0</v>
      </c>
      <c r="G111" s="673">
        <v>0</v>
      </c>
      <c r="H111" s="673">
        <v>0</v>
      </c>
      <c r="I111" s="673">
        <v>0</v>
      </c>
      <c r="J111" s="673">
        <v>3000</v>
      </c>
      <c r="K111" s="673">
        <v>0</v>
      </c>
      <c r="L111" s="673">
        <v>0</v>
      </c>
      <c r="M111" s="673">
        <v>0</v>
      </c>
      <c r="N111" s="673">
        <v>0</v>
      </c>
      <c r="O111" s="673">
        <v>0</v>
      </c>
      <c r="P111" s="673">
        <v>0</v>
      </c>
      <c r="Q111" s="673">
        <f>3000+4000</f>
        <v>7000</v>
      </c>
      <c r="R111" s="673">
        <v>0</v>
      </c>
      <c r="S111" s="656">
        <f t="shared" si="11"/>
        <v>10000</v>
      </c>
      <c r="T111" s="617">
        <f t="shared" ca="1" si="12"/>
        <v>-1048</v>
      </c>
      <c r="U111" s="611">
        <v>43334</v>
      </c>
      <c r="V111" s="345" t="s">
        <v>2100</v>
      </c>
      <c r="W111" s="612"/>
      <c r="X111" s="613"/>
      <c r="Y111" s="613"/>
      <c r="Z111" s="613"/>
      <c r="AA111" s="613"/>
      <c r="AB111" s="613"/>
      <c r="AC111" s="616"/>
      <c r="AD111" s="346">
        <v>42605</v>
      </c>
      <c r="AE111" s="618">
        <f t="shared" ca="1" si="9"/>
        <v>-414</v>
      </c>
      <c r="AF111" s="339"/>
    </row>
    <row r="112" spans="1:32" s="541" customFormat="1" ht="38.25" x14ac:dyDescent="0.2">
      <c r="A112" s="646" t="s">
        <v>1916</v>
      </c>
      <c r="B112" s="339"/>
      <c r="C112" s="339" t="s">
        <v>1917</v>
      </c>
      <c r="D112" s="340" t="s">
        <v>1925</v>
      </c>
      <c r="E112" s="340" t="s">
        <v>1919</v>
      </c>
      <c r="F112" s="365">
        <v>0</v>
      </c>
      <c r="G112" s="673">
        <v>0</v>
      </c>
      <c r="H112" s="673">
        <v>0</v>
      </c>
      <c r="I112" s="673">
        <v>0</v>
      </c>
      <c r="J112" s="673">
        <v>0</v>
      </c>
      <c r="K112" s="673">
        <v>0</v>
      </c>
      <c r="L112" s="673">
        <v>500</v>
      </c>
      <c r="M112" s="673">
        <v>0</v>
      </c>
      <c r="N112" s="673">
        <v>0</v>
      </c>
      <c r="O112" s="673">
        <v>0</v>
      </c>
      <c r="P112" s="673">
        <v>0</v>
      </c>
      <c r="Q112" s="673">
        <v>0</v>
      </c>
      <c r="R112" s="673">
        <v>0</v>
      </c>
      <c r="S112" s="656">
        <f t="shared" si="11"/>
        <v>500</v>
      </c>
      <c r="T112" s="617">
        <f t="shared" ca="1" si="12"/>
        <v>-1048</v>
      </c>
      <c r="U112" s="611">
        <v>43334</v>
      </c>
      <c r="V112" s="345" t="s">
        <v>2100</v>
      </c>
      <c r="W112" s="612"/>
      <c r="X112" s="613"/>
      <c r="Y112" s="613"/>
      <c r="Z112" s="613"/>
      <c r="AA112" s="613"/>
      <c r="AB112" s="613"/>
      <c r="AC112" s="616"/>
      <c r="AD112" s="346">
        <v>42605</v>
      </c>
      <c r="AE112" s="618">
        <f t="shared" ca="1" si="9"/>
        <v>-414</v>
      </c>
      <c r="AF112" s="339"/>
    </row>
    <row r="113" spans="1:32" s="541" customFormat="1" ht="38.25" x14ac:dyDescent="0.2">
      <c r="A113" s="646" t="s">
        <v>1916</v>
      </c>
      <c r="B113" s="339"/>
      <c r="C113" s="339" t="s">
        <v>1917</v>
      </c>
      <c r="D113" s="340" t="s">
        <v>1926</v>
      </c>
      <c r="E113" s="340" t="s">
        <v>1919</v>
      </c>
      <c r="F113" s="365">
        <v>0</v>
      </c>
      <c r="G113" s="673">
        <v>0</v>
      </c>
      <c r="H113" s="673">
        <v>0</v>
      </c>
      <c r="I113" s="673">
        <v>0</v>
      </c>
      <c r="J113" s="673">
        <v>0</v>
      </c>
      <c r="K113" s="673">
        <v>0</v>
      </c>
      <c r="L113" s="673">
        <v>0</v>
      </c>
      <c r="M113" s="673">
        <v>0</v>
      </c>
      <c r="N113" s="673">
        <v>0</v>
      </c>
      <c r="O113" s="673">
        <v>0</v>
      </c>
      <c r="P113" s="673">
        <v>0</v>
      </c>
      <c r="Q113" s="673">
        <v>0</v>
      </c>
      <c r="R113" s="673">
        <v>0</v>
      </c>
      <c r="S113" s="656">
        <f t="shared" si="11"/>
        <v>0</v>
      </c>
      <c r="T113" s="617">
        <f t="shared" ca="1" si="12"/>
        <v>-1048</v>
      </c>
      <c r="U113" s="611">
        <v>43334</v>
      </c>
      <c r="V113" s="345" t="s">
        <v>2100</v>
      </c>
      <c r="W113" s="612"/>
      <c r="X113" s="613"/>
      <c r="Y113" s="613"/>
      <c r="Z113" s="613"/>
      <c r="AA113" s="613"/>
      <c r="AB113" s="613"/>
      <c r="AC113" s="616"/>
      <c r="AD113" s="346">
        <v>42605</v>
      </c>
      <c r="AE113" s="618">
        <f t="shared" ca="1" si="9"/>
        <v>-414</v>
      </c>
      <c r="AF113" s="339"/>
    </row>
    <row r="114" spans="1:32" s="541" customFormat="1" ht="38.25" x14ac:dyDescent="0.2">
      <c r="A114" s="646" t="s">
        <v>1916</v>
      </c>
      <c r="B114" s="339"/>
      <c r="C114" s="339" t="s">
        <v>1917</v>
      </c>
      <c r="D114" s="340" t="s">
        <v>1927</v>
      </c>
      <c r="E114" s="340" t="s">
        <v>1919</v>
      </c>
      <c r="F114" s="365">
        <v>0</v>
      </c>
      <c r="G114" s="673">
        <v>0</v>
      </c>
      <c r="H114" s="673">
        <v>0</v>
      </c>
      <c r="I114" s="673">
        <v>0</v>
      </c>
      <c r="J114" s="673">
        <v>0</v>
      </c>
      <c r="K114" s="673">
        <v>0</v>
      </c>
      <c r="L114" s="673">
        <v>0</v>
      </c>
      <c r="M114" s="673">
        <v>0</v>
      </c>
      <c r="N114" s="673">
        <v>0</v>
      </c>
      <c r="O114" s="673">
        <v>0</v>
      </c>
      <c r="P114" s="673">
        <v>0</v>
      </c>
      <c r="Q114" s="673">
        <v>0</v>
      </c>
      <c r="R114" s="673">
        <v>0</v>
      </c>
      <c r="S114" s="656">
        <f t="shared" si="11"/>
        <v>0</v>
      </c>
      <c r="T114" s="617">
        <f t="shared" ca="1" si="12"/>
        <v>-1048</v>
      </c>
      <c r="U114" s="611">
        <v>43334</v>
      </c>
      <c r="V114" s="345" t="s">
        <v>2100</v>
      </c>
      <c r="W114" s="612"/>
      <c r="X114" s="613"/>
      <c r="Y114" s="613"/>
      <c r="Z114" s="613"/>
      <c r="AA114" s="613"/>
      <c r="AB114" s="613"/>
      <c r="AC114" s="616"/>
      <c r="AD114" s="346">
        <v>42605</v>
      </c>
      <c r="AE114" s="618">
        <f t="shared" ca="1" si="9"/>
        <v>-414</v>
      </c>
      <c r="AF114" s="339"/>
    </row>
    <row r="115" spans="1:32" s="541" customFormat="1" ht="38.25" x14ac:dyDescent="0.2">
      <c r="A115" s="646" t="s">
        <v>1916</v>
      </c>
      <c r="B115" s="339"/>
      <c r="C115" s="339" t="s">
        <v>1917</v>
      </c>
      <c r="D115" s="340" t="s">
        <v>1928</v>
      </c>
      <c r="E115" s="340" t="s">
        <v>1919</v>
      </c>
      <c r="F115" s="365">
        <v>0</v>
      </c>
      <c r="G115" s="673">
        <v>2500</v>
      </c>
      <c r="H115" s="673">
        <v>0</v>
      </c>
      <c r="I115" s="673">
        <v>0</v>
      </c>
      <c r="J115" s="673">
        <v>0</v>
      </c>
      <c r="K115" s="673">
        <v>0</v>
      </c>
      <c r="L115" s="673">
        <v>0</v>
      </c>
      <c r="M115" s="673">
        <v>0</v>
      </c>
      <c r="N115" s="673">
        <v>0</v>
      </c>
      <c r="O115" s="673">
        <v>0</v>
      </c>
      <c r="P115" s="673">
        <v>0</v>
      </c>
      <c r="Q115" s="673">
        <v>0</v>
      </c>
      <c r="R115" s="673">
        <v>0</v>
      </c>
      <c r="S115" s="656">
        <f t="shared" si="11"/>
        <v>2500</v>
      </c>
      <c r="T115" s="617">
        <f t="shared" ca="1" si="12"/>
        <v>-1048</v>
      </c>
      <c r="U115" s="611">
        <v>43334</v>
      </c>
      <c r="V115" s="345" t="s">
        <v>2100</v>
      </c>
      <c r="W115" s="612"/>
      <c r="X115" s="613"/>
      <c r="Y115" s="613"/>
      <c r="Z115" s="613"/>
      <c r="AA115" s="613"/>
      <c r="AB115" s="613"/>
      <c r="AC115" s="616"/>
      <c r="AD115" s="346">
        <v>42605</v>
      </c>
      <c r="AE115" s="618">
        <f t="shared" ca="1" si="9"/>
        <v>-414</v>
      </c>
      <c r="AF115" s="339"/>
    </row>
    <row r="116" spans="1:32" s="541" customFormat="1" ht="38.25" x14ac:dyDescent="0.2">
      <c r="A116" s="646" t="s">
        <v>1916</v>
      </c>
      <c r="B116" s="339"/>
      <c r="C116" s="339" t="s">
        <v>1917</v>
      </c>
      <c r="D116" s="340" t="s">
        <v>1929</v>
      </c>
      <c r="E116" s="340" t="s">
        <v>1919</v>
      </c>
      <c r="F116" s="365">
        <v>0</v>
      </c>
      <c r="G116" s="673">
        <v>0</v>
      </c>
      <c r="H116" s="673">
        <v>0</v>
      </c>
      <c r="I116" s="673">
        <v>0</v>
      </c>
      <c r="J116" s="673">
        <v>0</v>
      </c>
      <c r="K116" s="673">
        <v>0</v>
      </c>
      <c r="L116" s="673">
        <v>0</v>
      </c>
      <c r="M116" s="673">
        <v>0</v>
      </c>
      <c r="N116" s="673">
        <v>800</v>
      </c>
      <c r="O116" s="673">
        <v>0</v>
      </c>
      <c r="P116" s="673">
        <v>0</v>
      </c>
      <c r="Q116" s="673">
        <v>0</v>
      </c>
      <c r="R116" s="673">
        <v>0</v>
      </c>
      <c r="S116" s="656">
        <f t="shared" si="11"/>
        <v>800</v>
      </c>
      <c r="T116" s="617">
        <f t="shared" ca="1" si="12"/>
        <v>-1048</v>
      </c>
      <c r="U116" s="611">
        <v>43334</v>
      </c>
      <c r="V116" s="345" t="s">
        <v>2100</v>
      </c>
      <c r="W116" s="612"/>
      <c r="X116" s="613"/>
      <c r="Y116" s="613"/>
      <c r="Z116" s="613"/>
      <c r="AA116" s="613"/>
      <c r="AB116" s="613"/>
      <c r="AC116" s="616"/>
      <c r="AD116" s="346">
        <v>42605</v>
      </c>
      <c r="AE116" s="618">
        <f t="shared" ca="1" si="9"/>
        <v>-414</v>
      </c>
      <c r="AF116" s="339"/>
    </row>
    <row r="117" spans="1:32" s="541" customFormat="1" ht="38.25" x14ac:dyDescent="0.2">
      <c r="A117" s="646" t="s">
        <v>1916</v>
      </c>
      <c r="B117" s="339"/>
      <c r="C117" s="339" t="s">
        <v>1917</v>
      </c>
      <c r="D117" s="340" t="s">
        <v>1930</v>
      </c>
      <c r="E117" s="340" t="s">
        <v>1919</v>
      </c>
      <c r="F117" s="365">
        <v>0</v>
      </c>
      <c r="G117" s="673">
        <v>0</v>
      </c>
      <c r="H117" s="673">
        <v>1074.3599999999999</v>
      </c>
      <c r="I117" s="673">
        <v>0</v>
      </c>
      <c r="J117" s="673">
        <v>881.53</v>
      </c>
      <c r="K117" s="673">
        <v>0</v>
      </c>
      <c r="L117" s="673">
        <v>0</v>
      </c>
      <c r="M117" s="673">
        <v>0</v>
      </c>
      <c r="N117" s="673">
        <v>0</v>
      </c>
      <c r="O117" s="673">
        <v>0</v>
      </c>
      <c r="P117" s="673">
        <v>0</v>
      </c>
      <c r="Q117" s="673">
        <v>0</v>
      </c>
      <c r="R117" s="673">
        <v>0</v>
      </c>
      <c r="S117" s="656">
        <f t="shared" si="11"/>
        <v>1955.8899999999999</v>
      </c>
      <c r="T117" s="617">
        <f t="shared" ca="1" si="12"/>
        <v>-1048</v>
      </c>
      <c r="U117" s="611">
        <v>43334</v>
      </c>
      <c r="V117" s="345" t="s">
        <v>2100</v>
      </c>
      <c r="W117" s="612"/>
      <c r="X117" s="613"/>
      <c r="Y117" s="613"/>
      <c r="Z117" s="613"/>
      <c r="AA117" s="613"/>
      <c r="AB117" s="613"/>
      <c r="AC117" s="616"/>
      <c r="AD117" s="346">
        <v>42605</v>
      </c>
      <c r="AE117" s="618">
        <f t="shared" ca="1" si="9"/>
        <v>-414</v>
      </c>
      <c r="AF117" s="339"/>
    </row>
    <row r="118" spans="1:32" s="541" customFormat="1" ht="38.25" x14ac:dyDescent="0.2">
      <c r="A118" s="646" t="s">
        <v>1916</v>
      </c>
      <c r="B118" s="339"/>
      <c r="C118" s="339" t="s">
        <v>1917</v>
      </c>
      <c r="D118" s="340" t="s">
        <v>1931</v>
      </c>
      <c r="E118" s="340" t="s">
        <v>1919</v>
      </c>
      <c r="F118" s="365">
        <v>0</v>
      </c>
      <c r="G118" s="673">
        <v>0</v>
      </c>
      <c r="H118" s="673">
        <v>0</v>
      </c>
      <c r="I118" s="673">
        <v>0</v>
      </c>
      <c r="J118" s="673">
        <v>0</v>
      </c>
      <c r="K118" s="673">
        <v>0</v>
      </c>
      <c r="L118" s="673">
        <v>0</v>
      </c>
      <c r="M118" s="673">
        <v>0</v>
      </c>
      <c r="N118" s="673">
        <v>1690</v>
      </c>
      <c r="O118" s="673">
        <v>0</v>
      </c>
      <c r="P118" s="673">
        <v>0</v>
      </c>
      <c r="Q118" s="673">
        <v>0</v>
      </c>
      <c r="R118" s="673">
        <v>1565</v>
      </c>
      <c r="S118" s="656">
        <f t="shared" si="11"/>
        <v>3255</v>
      </c>
      <c r="T118" s="617">
        <f t="shared" ca="1" si="12"/>
        <v>-1048</v>
      </c>
      <c r="U118" s="611">
        <v>43334</v>
      </c>
      <c r="V118" s="345" t="s">
        <v>2100</v>
      </c>
      <c r="W118" s="612"/>
      <c r="X118" s="613"/>
      <c r="Y118" s="613"/>
      <c r="Z118" s="613"/>
      <c r="AA118" s="613"/>
      <c r="AB118" s="613"/>
      <c r="AC118" s="616"/>
      <c r="AD118" s="346">
        <v>42605</v>
      </c>
      <c r="AE118" s="618">
        <f t="shared" ca="1" si="9"/>
        <v>-414</v>
      </c>
      <c r="AF118" s="339"/>
    </row>
    <row r="119" spans="1:32" s="541" customFormat="1" ht="25.5" x14ac:dyDescent="0.2">
      <c r="A119" s="646" t="s">
        <v>1756</v>
      </c>
      <c r="B119" s="339"/>
      <c r="C119" s="339" t="s">
        <v>1932</v>
      </c>
      <c r="D119" s="340" t="s">
        <v>1933</v>
      </c>
      <c r="E119" s="340" t="s">
        <v>1798</v>
      </c>
      <c r="F119" s="365">
        <v>0</v>
      </c>
      <c r="G119" s="673">
        <v>0</v>
      </c>
      <c r="H119" s="673">
        <v>0</v>
      </c>
      <c r="I119" s="673">
        <v>0</v>
      </c>
      <c r="J119" s="673">
        <v>0</v>
      </c>
      <c r="K119" s="673">
        <v>0</v>
      </c>
      <c r="L119" s="673">
        <v>0</v>
      </c>
      <c r="M119" s="673">
        <v>0</v>
      </c>
      <c r="N119" s="673">
        <v>0</v>
      </c>
      <c r="O119" s="673">
        <v>0</v>
      </c>
      <c r="P119" s="673">
        <v>0</v>
      </c>
      <c r="Q119" s="673">
        <v>0</v>
      </c>
      <c r="R119" s="673">
        <v>0</v>
      </c>
      <c r="S119" s="656">
        <f t="shared" si="11"/>
        <v>0</v>
      </c>
      <c r="T119" s="610">
        <f t="shared" ca="1" si="12"/>
        <v>-1413</v>
      </c>
      <c r="U119" s="611">
        <v>42969</v>
      </c>
      <c r="V119" s="615" t="s">
        <v>1914</v>
      </c>
      <c r="W119" s="612"/>
      <c r="X119" s="613"/>
      <c r="Y119" s="613"/>
      <c r="Z119" s="613"/>
      <c r="AA119" s="613"/>
      <c r="AB119" s="613"/>
      <c r="AC119" s="616">
        <v>42913</v>
      </c>
      <c r="AD119" s="346">
        <v>42605</v>
      </c>
      <c r="AE119" s="614">
        <f t="shared" ca="1" si="9"/>
        <v>-414</v>
      </c>
      <c r="AF119" s="339" t="s">
        <v>1763</v>
      </c>
    </row>
    <row r="120" spans="1:32" s="541" customFormat="1" ht="38.25" x14ac:dyDescent="0.2">
      <c r="A120" s="646" t="s">
        <v>1935</v>
      </c>
      <c r="B120" s="339"/>
      <c r="C120" s="339" t="s">
        <v>1936</v>
      </c>
      <c r="D120" s="340" t="s">
        <v>1937</v>
      </c>
      <c r="E120" s="340" t="s">
        <v>1938</v>
      </c>
      <c r="F120" s="365">
        <v>0</v>
      </c>
      <c r="G120" s="673">
        <v>0</v>
      </c>
      <c r="H120" s="673">
        <v>0</v>
      </c>
      <c r="I120" s="673">
        <v>0</v>
      </c>
      <c r="J120" s="673">
        <v>0</v>
      </c>
      <c r="K120" s="673">
        <v>0</v>
      </c>
      <c r="L120" s="673">
        <v>0</v>
      </c>
      <c r="M120" s="673">
        <v>0</v>
      </c>
      <c r="N120" s="673">
        <v>0</v>
      </c>
      <c r="O120" s="673">
        <v>0</v>
      </c>
      <c r="P120" s="673">
        <v>0</v>
      </c>
      <c r="Q120" s="673">
        <v>0</v>
      </c>
      <c r="R120" s="673">
        <v>0</v>
      </c>
      <c r="S120" s="656">
        <f t="shared" si="11"/>
        <v>0</v>
      </c>
      <c r="T120" s="617">
        <f t="shared" ca="1" si="12"/>
        <v>-1059</v>
      </c>
      <c r="U120" s="611">
        <v>43323</v>
      </c>
      <c r="V120" s="345" t="s">
        <v>1939</v>
      </c>
      <c r="W120" s="612"/>
      <c r="X120" s="613"/>
      <c r="Y120" s="613"/>
      <c r="Z120" s="613"/>
      <c r="AA120" s="613"/>
      <c r="AB120" s="613"/>
      <c r="AC120" s="616"/>
      <c r="AD120" s="346">
        <v>41498</v>
      </c>
      <c r="AE120" s="618">
        <f t="shared" ca="1" si="9"/>
        <v>693</v>
      </c>
      <c r="AF120" s="339" t="s">
        <v>1940</v>
      </c>
    </row>
    <row r="121" spans="1:32" s="541" customFormat="1" ht="38.25" x14ac:dyDescent="0.2">
      <c r="A121" s="646" t="s">
        <v>1756</v>
      </c>
      <c r="B121" s="339"/>
      <c r="C121" s="339" t="s">
        <v>1757</v>
      </c>
      <c r="D121" s="340" t="s">
        <v>1953</v>
      </c>
      <c r="E121" s="340" t="s">
        <v>1798</v>
      </c>
      <c r="F121" s="365" t="s">
        <v>314</v>
      </c>
      <c r="G121" s="673">
        <v>0</v>
      </c>
      <c r="H121" s="673">
        <v>0</v>
      </c>
      <c r="I121" s="673">
        <v>0</v>
      </c>
      <c r="J121" s="673">
        <v>0</v>
      </c>
      <c r="K121" s="673">
        <v>0</v>
      </c>
      <c r="L121" s="673">
        <v>0</v>
      </c>
      <c r="M121" s="673">
        <v>0</v>
      </c>
      <c r="N121" s="673">
        <v>0</v>
      </c>
      <c r="O121" s="673">
        <v>0</v>
      </c>
      <c r="P121" s="673">
        <v>0</v>
      </c>
      <c r="Q121" s="673">
        <v>0</v>
      </c>
      <c r="R121" s="673">
        <v>0</v>
      </c>
      <c r="S121" s="656">
        <f t="shared" si="11"/>
        <v>0</v>
      </c>
      <c r="T121" s="617">
        <f t="shared" ca="1" si="12"/>
        <v>-2017</v>
      </c>
      <c r="U121" s="611">
        <v>42365</v>
      </c>
      <c r="V121" s="345" t="s">
        <v>1959</v>
      </c>
      <c r="W121" s="612"/>
      <c r="X121" s="613"/>
      <c r="Y121" s="613"/>
      <c r="Z121" s="613"/>
      <c r="AA121" s="613"/>
      <c r="AB121" s="613"/>
      <c r="AC121" s="616">
        <v>42755</v>
      </c>
      <c r="AD121" s="346">
        <v>42366</v>
      </c>
      <c r="AE121" s="618">
        <f t="shared" ca="1" si="9"/>
        <v>-176</v>
      </c>
      <c r="AF121" s="339" t="s">
        <v>1763</v>
      </c>
    </row>
    <row r="122" spans="1:32" s="541" customFormat="1" ht="51" x14ac:dyDescent="0.2">
      <c r="A122" s="646" t="s">
        <v>1756</v>
      </c>
      <c r="B122" s="339"/>
      <c r="C122" s="339" t="s">
        <v>1757</v>
      </c>
      <c r="D122" s="340" t="s">
        <v>1954</v>
      </c>
      <c r="E122" s="340" t="s">
        <v>1798</v>
      </c>
      <c r="F122" s="365" t="s">
        <v>314</v>
      </c>
      <c r="G122" s="673">
        <v>0</v>
      </c>
      <c r="H122" s="673">
        <v>0</v>
      </c>
      <c r="I122" s="673">
        <v>0</v>
      </c>
      <c r="J122" s="673">
        <v>0</v>
      </c>
      <c r="K122" s="673">
        <v>0</v>
      </c>
      <c r="L122" s="673">
        <v>0</v>
      </c>
      <c r="M122" s="673">
        <v>0</v>
      </c>
      <c r="N122" s="673">
        <v>0</v>
      </c>
      <c r="O122" s="673">
        <v>0</v>
      </c>
      <c r="P122" s="673">
        <v>0</v>
      </c>
      <c r="Q122" s="673">
        <v>0</v>
      </c>
      <c r="R122" s="673">
        <v>0</v>
      </c>
      <c r="S122" s="656">
        <f t="shared" si="11"/>
        <v>0</v>
      </c>
      <c r="T122" s="617">
        <f t="shared" ca="1" si="12"/>
        <v>-1613</v>
      </c>
      <c r="U122" s="611">
        <v>42769</v>
      </c>
      <c r="V122" s="345" t="s">
        <v>1958</v>
      </c>
      <c r="W122" s="612"/>
      <c r="X122" s="613"/>
      <c r="Y122" s="613"/>
      <c r="Z122" s="613"/>
      <c r="AA122" s="613"/>
      <c r="AB122" s="613"/>
      <c r="AC122" s="616">
        <v>42755</v>
      </c>
      <c r="AD122" s="346">
        <v>42404</v>
      </c>
      <c r="AE122" s="618">
        <f t="shared" ca="1" si="9"/>
        <v>-214</v>
      </c>
      <c r="AF122" s="339" t="s">
        <v>1763</v>
      </c>
    </row>
    <row r="123" spans="1:32" s="541" customFormat="1" ht="38.25" x14ac:dyDescent="0.2">
      <c r="A123" s="646" t="s">
        <v>1756</v>
      </c>
      <c r="B123" s="339"/>
      <c r="C123" s="339" t="s">
        <v>1757</v>
      </c>
      <c r="D123" s="340" t="s">
        <v>1956</v>
      </c>
      <c r="E123" s="340" t="s">
        <v>1798</v>
      </c>
      <c r="F123" s="365" t="s">
        <v>314</v>
      </c>
      <c r="G123" s="673">
        <v>0</v>
      </c>
      <c r="H123" s="673">
        <v>0</v>
      </c>
      <c r="I123" s="673">
        <v>0</v>
      </c>
      <c r="J123" s="673">
        <v>0</v>
      </c>
      <c r="K123" s="673">
        <v>0</v>
      </c>
      <c r="L123" s="673">
        <v>0</v>
      </c>
      <c r="M123" s="673">
        <v>0</v>
      </c>
      <c r="N123" s="673">
        <v>0</v>
      </c>
      <c r="O123" s="673">
        <v>0</v>
      </c>
      <c r="P123" s="673">
        <v>0</v>
      </c>
      <c r="Q123" s="673">
        <v>0</v>
      </c>
      <c r="R123" s="673">
        <v>0</v>
      </c>
      <c r="S123" s="656">
        <f t="shared" si="11"/>
        <v>0</v>
      </c>
      <c r="T123" s="617">
        <f t="shared" ca="1" si="12"/>
        <v>-1613</v>
      </c>
      <c r="U123" s="611">
        <v>42769</v>
      </c>
      <c r="V123" s="345" t="s">
        <v>1958</v>
      </c>
      <c r="W123" s="612"/>
      <c r="X123" s="613"/>
      <c r="Y123" s="613"/>
      <c r="Z123" s="613"/>
      <c r="AA123" s="613"/>
      <c r="AB123" s="613"/>
      <c r="AC123" s="616">
        <v>42755</v>
      </c>
      <c r="AD123" s="346">
        <v>42404</v>
      </c>
      <c r="AE123" s="618">
        <f t="shared" ca="1" si="9"/>
        <v>-214</v>
      </c>
      <c r="AF123" s="339" t="s">
        <v>1763</v>
      </c>
    </row>
    <row r="124" spans="1:32" s="541" customFormat="1" ht="38.25" x14ac:dyDescent="0.2">
      <c r="A124" s="646" t="s">
        <v>1756</v>
      </c>
      <c r="B124" s="339"/>
      <c r="C124" s="339" t="s">
        <v>1757</v>
      </c>
      <c r="D124" s="340" t="s">
        <v>1955</v>
      </c>
      <c r="E124" s="340" t="s">
        <v>1798</v>
      </c>
      <c r="F124" s="365" t="s">
        <v>314</v>
      </c>
      <c r="G124" s="673">
        <v>0</v>
      </c>
      <c r="H124" s="673">
        <v>0</v>
      </c>
      <c r="I124" s="673">
        <v>0</v>
      </c>
      <c r="J124" s="673">
        <v>0</v>
      </c>
      <c r="K124" s="673">
        <v>0</v>
      </c>
      <c r="L124" s="673">
        <v>0</v>
      </c>
      <c r="M124" s="673">
        <v>0</v>
      </c>
      <c r="N124" s="673">
        <v>935.6</v>
      </c>
      <c r="O124" s="673">
        <v>0</v>
      </c>
      <c r="P124" s="673">
        <v>648.29999999999995</v>
      </c>
      <c r="Q124" s="673">
        <v>0</v>
      </c>
      <c r="R124" s="673">
        <v>493.41</v>
      </c>
      <c r="S124" s="656">
        <f t="shared" si="11"/>
        <v>2077.31</v>
      </c>
      <c r="T124" s="610">
        <f t="shared" ca="1" si="12"/>
        <v>-1248</v>
      </c>
      <c r="U124" s="611">
        <v>43134</v>
      </c>
      <c r="V124" s="615" t="s">
        <v>2014</v>
      </c>
      <c r="W124" s="612"/>
      <c r="X124" s="613"/>
      <c r="Y124" s="613"/>
      <c r="Z124" s="613"/>
      <c r="AA124" s="613"/>
      <c r="AB124" s="613"/>
      <c r="AC124" s="616">
        <v>43088</v>
      </c>
      <c r="AD124" s="346">
        <v>42404</v>
      </c>
      <c r="AE124" s="614">
        <f t="shared" ca="1" si="9"/>
        <v>-214</v>
      </c>
      <c r="AF124" s="339" t="s">
        <v>1763</v>
      </c>
    </row>
    <row r="125" spans="1:32" s="541" customFormat="1" ht="38.25" x14ac:dyDescent="0.2">
      <c r="A125" s="646" t="s">
        <v>1756</v>
      </c>
      <c r="B125" s="339"/>
      <c r="C125" s="339" t="s">
        <v>1757</v>
      </c>
      <c r="D125" s="340" t="s">
        <v>1957</v>
      </c>
      <c r="E125" s="340" t="s">
        <v>1798</v>
      </c>
      <c r="F125" s="365" t="s">
        <v>314</v>
      </c>
      <c r="G125" s="673">
        <v>0</v>
      </c>
      <c r="H125" s="673">
        <v>0</v>
      </c>
      <c r="I125" s="673">
        <v>0</v>
      </c>
      <c r="J125" s="673">
        <v>0</v>
      </c>
      <c r="K125" s="673">
        <v>0</v>
      </c>
      <c r="L125" s="673">
        <v>0</v>
      </c>
      <c r="M125" s="673">
        <v>0</v>
      </c>
      <c r="N125" s="673">
        <v>0</v>
      </c>
      <c r="O125" s="673">
        <v>0</v>
      </c>
      <c r="P125" s="673">
        <v>0</v>
      </c>
      <c r="Q125" s="673">
        <v>0</v>
      </c>
      <c r="R125" s="673">
        <v>0</v>
      </c>
      <c r="S125" s="656">
        <f t="shared" si="11"/>
        <v>0</v>
      </c>
      <c r="T125" s="610">
        <f t="shared" ca="1" si="12"/>
        <v>-1248</v>
      </c>
      <c r="U125" s="611">
        <v>43134</v>
      </c>
      <c r="V125" s="615" t="s">
        <v>2014</v>
      </c>
      <c r="W125" s="612"/>
      <c r="X125" s="613"/>
      <c r="Y125" s="613"/>
      <c r="Z125" s="613"/>
      <c r="AA125" s="613"/>
      <c r="AB125" s="613"/>
      <c r="AC125" s="616">
        <v>43088</v>
      </c>
      <c r="AD125" s="346">
        <v>42404</v>
      </c>
      <c r="AE125" s="614">
        <f t="shared" ref="AE125:AE135" ca="1" si="13">TODAY()-DATE(YEAR(AD125)+6,MONTH(AD125),DAY(AD125))</f>
        <v>-214</v>
      </c>
      <c r="AF125" s="339" t="s">
        <v>1763</v>
      </c>
    </row>
    <row r="126" spans="1:32" s="541" customFormat="1" ht="51" x14ac:dyDescent="0.2">
      <c r="A126" s="646" t="s">
        <v>1960</v>
      </c>
      <c r="B126" s="339"/>
      <c r="C126" s="339" t="s">
        <v>1961</v>
      </c>
      <c r="D126" s="340" t="s">
        <v>1962</v>
      </c>
      <c r="E126" s="340" t="s">
        <v>1963</v>
      </c>
      <c r="F126" s="365">
        <v>29654.38</v>
      </c>
      <c r="G126" s="673">
        <v>0</v>
      </c>
      <c r="H126" s="673">
        <v>2325</v>
      </c>
      <c r="I126" s="673">
        <v>2325</v>
      </c>
      <c r="J126" s="673">
        <v>2325</v>
      </c>
      <c r="K126" s="673">
        <f>2471.2+2471.2</f>
        <v>4942.3999999999996</v>
      </c>
      <c r="L126" s="673">
        <v>2471.1999999999998</v>
      </c>
      <c r="M126" s="673">
        <v>2471.1999999999998</v>
      </c>
      <c r="N126" s="673">
        <v>2471.1999999999998</v>
      </c>
      <c r="O126" s="673">
        <v>2471.1999999999998</v>
      </c>
      <c r="P126" s="673">
        <v>2471.1999999999998</v>
      </c>
      <c r="Q126" s="673">
        <f>2471.2+2471.2</f>
        <v>4942.3999999999996</v>
      </c>
      <c r="R126" s="673">
        <v>0</v>
      </c>
      <c r="S126" s="656">
        <f t="shared" si="11"/>
        <v>29215.800000000003</v>
      </c>
      <c r="T126" s="617">
        <f t="shared" ca="1" si="12"/>
        <v>-1235</v>
      </c>
      <c r="U126" s="611">
        <v>43147</v>
      </c>
      <c r="V126" s="345" t="s">
        <v>1992</v>
      </c>
      <c r="W126" s="612"/>
      <c r="X126" s="613"/>
      <c r="Y126" s="613"/>
      <c r="Z126" s="613"/>
      <c r="AA126" s="613"/>
      <c r="AB126" s="613"/>
      <c r="AC126" s="616"/>
      <c r="AD126" s="346">
        <v>42417</v>
      </c>
      <c r="AE126" s="618">
        <f t="shared" ca="1" si="13"/>
        <v>-227</v>
      </c>
      <c r="AF126" s="339" t="s">
        <v>169</v>
      </c>
    </row>
    <row r="127" spans="1:32" s="541" customFormat="1" ht="51" x14ac:dyDescent="0.2">
      <c r="A127" s="646" t="s">
        <v>1976</v>
      </c>
      <c r="B127" s="339"/>
      <c r="C127" s="339" t="s">
        <v>1980</v>
      </c>
      <c r="D127" s="340" t="s">
        <v>1977</v>
      </c>
      <c r="E127" s="340" t="s">
        <v>1978</v>
      </c>
      <c r="F127" s="365">
        <v>364512.88</v>
      </c>
      <c r="G127" s="673">
        <v>0</v>
      </c>
      <c r="H127" s="673">
        <v>0</v>
      </c>
      <c r="I127" s="673">
        <v>0</v>
      </c>
      <c r="J127" s="673">
        <v>0</v>
      </c>
      <c r="K127" s="673">
        <v>0</v>
      </c>
      <c r="L127" s="673">
        <v>0</v>
      </c>
      <c r="M127" s="673">
        <v>0</v>
      </c>
      <c r="N127" s="673">
        <v>0</v>
      </c>
      <c r="O127" s="673">
        <v>0</v>
      </c>
      <c r="P127" s="673">
        <v>0</v>
      </c>
      <c r="Q127" s="673">
        <v>0</v>
      </c>
      <c r="R127" s="673">
        <v>0</v>
      </c>
      <c r="S127" s="656">
        <f t="shared" si="11"/>
        <v>0</v>
      </c>
      <c r="T127" s="617">
        <f t="shared" ca="1" si="12"/>
        <v>-1293</v>
      </c>
      <c r="U127" s="611">
        <v>43089</v>
      </c>
      <c r="V127" s="345" t="s">
        <v>1979</v>
      </c>
      <c r="W127" s="612"/>
      <c r="X127" s="613"/>
      <c r="Y127" s="613"/>
      <c r="Z127" s="613"/>
      <c r="AA127" s="613"/>
      <c r="AB127" s="613"/>
      <c r="AC127" s="616">
        <v>43045</v>
      </c>
      <c r="AD127" s="346">
        <v>42725</v>
      </c>
      <c r="AE127" s="618">
        <f t="shared" ca="1" si="13"/>
        <v>-534</v>
      </c>
      <c r="AF127" s="339"/>
    </row>
    <row r="128" spans="1:32" s="541" customFormat="1" ht="51" x14ac:dyDescent="0.2">
      <c r="A128" s="646" t="s">
        <v>1976</v>
      </c>
      <c r="B128" s="339"/>
      <c r="C128" s="339" t="s">
        <v>1980</v>
      </c>
      <c r="D128" s="340" t="s">
        <v>1981</v>
      </c>
      <c r="E128" s="340" t="s">
        <v>2081</v>
      </c>
      <c r="F128" s="365">
        <v>327836</v>
      </c>
      <c r="G128" s="673">
        <v>0</v>
      </c>
      <c r="H128" s="673">
        <v>0</v>
      </c>
      <c r="I128" s="673">
        <v>0</v>
      </c>
      <c r="J128" s="673">
        <v>0</v>
      </c>
      <c r="K128" s="673">
        <v>0</v>
      </c>
      <c r="L128" s="673">
        <v>0</v>
      </c>
      <c r="M128" s="673">
        <v>8580</v>
      </c>
      <c r="N128" s="673">
        <v>642.6</v>
      </c>
      <c r="O128" s="673">
        <v>0</v>
      </c>
      <c r="P128" s="673">
        <v>0</v>
      </c>
      <c r="Q128" s="673">
        <v>0</v>
      </c>
      <c r="R128" s="673">
        <v>0</v>
      </c>
      <c r="S128" s="656">
        <f t="shared" si="11"/>
        <v>9222.6</v>
      </c>
      <c r="T128" s="617">
        <f t="shared" ca="1" si="12"/>
        <v>-1293</v>
      </c>
      <c r="U128" s="611">
        <v>43089</v>
      </c>
      <c r="V128" s="345" t="s">
        <v>1979</v>
      </c>
      <c r="W128" s="612"/>
      <c r="X128" s="613"/>
      <c r="Y128" s="613"/>
      <c r="Z128" s="613"/>
      <c r="AA128" s="613"/>
      <c r="AB128" s="613"/>
      <c r="AC128" s="616">
        <v>43045</v>
      </c>
      <c r="AD128" s="346">
        <v>42725</v>
      </c>
      <c r="AE128" s="618">
        <f t="shared" ca="1" si="13"/>
        <v>-534</v>
      </c>
      <c r="AF128" s="339"/>
    </row>
    <row r="129" spans="1:32" s="541" customFormat="1" ht="51" x14ac:dyDescent="0.2">
      <c r="A129" s="646" t="s">
        <v>1976</v>
      </c>
      <c r="B129" s="339"/>
      <c r="C129" s="339" t="s">
        <v>1980</v>
      </c>
      <c r="D129" s="340" t="s">
        <v>1547</v>
      </c>
      <c r="E129" s="340" t="s">
        <v>2082</v>
      </c>
      <c r="F129" s="365">
        <v>87353.02</v>
      </c>
      <c r="G129" s="673">
        <v>0</v>
      </c>
      <c r="H129" s="673">
        <v>0</v>
      </c>
      <c r="I129" s="673">
        <v>0</v>
      </c>
      <c r="J129" s="673">
        <v>3990.55</v>
      </c>
      <c r="K129" s="673">
        <v>0</v>
      </c>
      <c r="L129" s="673">
        <v>0</v>
      </c>
      <c r="M129" s="673">
        <v>14913.22</v>
      </c>
      <c r="N129" s="673">
        <v>0</v>
      </c>
      <c r="O129" s="673">
        <v>0</v>
      </c>
      <c r="P129" s="673">
        <v>0</v>
      </c>
      <c r="Q129" s="673">
        <v>0</v>
      </c>
      <c r="R129" s="673">
        <v>0</v>
      </c>
      <c r="S129" s="656">
        <f t="shared" si="11"/>
        <v>18903.77</v>
      </c>
      <c r="T129" s="617">
        <f t="shared" ca="1" si="12"/>
        <v>-1293</v>
      </c>
      <c r="U129" s="611">
        <v>43089</v>
      </c>
      <c r="V129" s="345" t="s">
        <v>1979</v>
      </c>
      <c r="W129" s="612"/>
      <c r="X129" s="613"/>
      <c r="Y129" s="613"/>
      <c r="Z129" s="613"/>
      <c r="AA129" s="613"/>
      <c r="AB129" s="613"/>
      <c r="AC129" s="616">
        <v>43048</v>
      </c>
      <c r="AD129" s="346">
        <v>42725</v>
      </c>
      <c r="AE129" s="618">
        <f t="shared" ca="1" si="13"/>
        <v>-534</v>
      </c>
      <c r="AF129" s="339" t="s">
        <v>48</v>
      </c>
    </row>
    <row r="130" spans="1:32" s="541" customFormat="1" ht="38.25" x14ac:dyDescent="0.2">
      <c r="A130" s="646" t="s">
        <v>1756</v>
      </c>
      <c r="B130" s="339"/>
      <c r="C130" s="339" t="s">
        <v>1757</v>
      </c>
      <c r="D130" s="340" t="s">
        <v>1986</v>
      </c>
      <c r="E130" s="340" t="s">
        <v>1798</v>
      </c>
      <c r="F130" s="365">
        <v>0</v>
      </c>
      <c r="G130" s="673">
        <v>0</v>
      </c>
      <c r="H130" s="673">
        <v>0</v>
      </c>
      <c r="I130" s="673">
        <v>0</v>
      </c>
      <c r="J130" s="673">
        <v>0</v>
      </c>
      <c r="K130" s="673">
        <v>0</v>
      </c>
      <c r="L130" s="673">
        <v>0</v>
      </c>
      <c r="M130" s="673">
        <v>0</v>
      </c>
      <c r="N130" s="673">
        <v>0</v>
      </c>
      <c r="O130" s="673">
        <v>0</v>
      </c>
      <c r="P130" s="673">
        <v>0</v>
      </c>
      <c r="Q130" s="673">
        <v>0</v>
      </c>
      <c r="R130" s="673">
        <v>0</v>
      </c>
      <c r="S130" s="656">
        <f t="shared" si="11"/>
        <v>0</v>
      </c>
      <c r="T130" s="610">
        <f t="shared" ca="1" si="12"/>
        <v>-1251</v>
      </c>
      <c r="U130" s="611">
        <v>43131</v>
      </c>
      <c r="V130" s="615" t="s">
        <v>1987</v>
      </c>
      <c r="W130" s="612"/>
      <c r="X130" s="613"/>
      <c r="Y130" s="613"/>
      <c r="Z130" s="613"/>
      <c r="AA130" s="613"/>
      <c r="AB130" s="613"/>
      <c r="AC130" s="616">
        <v>43088</v>
      </c>
      <c r="AD130" s="346">
        <v>42767</v>
      </c>
      <c r="AE130" s="614">
        <f t="shared" ca="1" si="13"/>
        <v>-576</v>
      </c>
      <c r="AF130" s="339" t="s">
        <v>1988</v>
      </c>
    </row>
    <row r="131" spans="1:32" s="541" customFormat="1" ht="25.5" x14ac:dyDescent="0.2">
      <c r="A131" s="646" t="s">
        <v>1989</v>
      </c>
      <c r="B131" s="339" t="s">
        <v>1896</v>
      </c>
      <c r="C131" s="339"/>
      <c r="D131" s="340" t="s">
        <v>973</v>
      </c>
      <c r="E131" s="340" t="s">
        <v>1438</v>
      </c>
      <c r="F131" s="365">
        <v>8000</v>
      </c>
      <c r="G131" s="673">
        <v>0</v>
      </c>
      <c r="H131" s="673">
        <v>0</v>
      </c>
      <c r="I131" s="673">
        <v>8000</v>
      </c>
      <c r="J131" s="673">
        <v>0</v>
      </c>
      <c r="K131" s="673">
        <v>0</v>
      </c>
      <c r="L131" s="673">
        <v>0</v>
      </c>
      <c r="M131" s="673">
        <v>0</v>
      </c>
      <c r="N131" s="673">
        <v>0</v>
      </c>
      <c r="O131" s="673">
        <v>0</v>
      </c>
      <c r="P131" s="673">
        <v>0</v>
      </c>
      <c r="Q131" s="673">
        <v>0</v>
      </c>
      <c r="R131" s="673">
        <v>0</v>
      </c>
      <c r="S131" s="656">
        <f t="shared" si="11"/>
        <v>8000</v>
      </c>
      <c r="T131" s="610">
        <f t="shared" ca="1" si="12"/>
        <v>-1403</v>
      </c>
      <c r="U131" s="611">
        <v>42979</v>
      </c>
      <c r="V131" s="615" t="s">
        <v>1990</v>
      </c>
      <c r="W131" s="612"/>
      <c r="X131" s="613"/>
      <c r="Y131" s="613"/>
      <c r="Z131" s="613"/>
      <c r="AA131" s="613"/>
      <c r="AB131" s="613"/>
      <c r="AC131" s="616">
        <v>42927</v>
      </c>
      <c r="AD131" s="346">
        <v>42786</v>
      </c>
      <c r="AE131" s="614">
        <f t="shared" ca="1" si="13"/>
        <v>-595</v>
      </c>
      <c r="AF131" s="339" t="s">
        <v>649</v>
      </c>
    </row>
    <row r="132" spans="1:32" s="541" customFormat="1" ht="38.25" x14ac:dyDescent="0.2">
      <c r="A132" s="646" t="s">
        <v>2002</v>
      </c>
      <c r="B132" s="339" t="s">
        <v>1840</v>
      </c>
      <c r="C132" s="339"/>
      <c r="D132" s="340" t="s">
        <v>2004</v>
      </c>
      <c r="E132" s="340" t="s">
        <v>1210</v>
      </c>
      <c r="F132" s="365">
        <v>3543.24</v>
      </c>
      <c r="G132" s="673">
        <v>0</v>
      </c>
      <c r="H132" s="673">
        <v>0</v>
      </c>
      <c r="I132" s="673">
        <v>280.51</v>
      </c>
      <c r="J132" s="673">
        <v>295.27</v>
      </c>
      <c r="K132" s="673">
        <v>295.27</v>
      </c>
      <c r="L132" s="673">
        <v>295.27</v>
      </c>
      <c r="M132" s="673">
        <v>295.27</v>
      </c>
      <c r="N132" s="673">
        <v>295.27</v>
      </c>
      <c r="O132" s="673">
        <v>295.27</v>
      </c>
      <c r="P132" s="673">
        <v>295.27</v>
      </c>
      <c r="Q132" s="673">
        <v>295.27</v>
      </c>
      <c r="R132" s="673">
        <v>295.27</v>
      </c>
      <c r="S132" s="656">
        <f t="shared" si="11"/>
        <v>2937.94</v>
      </c>
      <c r="T132" s="617">
        <f t="shared" ca="1" si="12"/>
        <v>-1222</v>
      </c>
      <c r="U132" s="611">
        <v>43160</v>
      </c>
      <c r="V132" s="345" t="s">
        <v>2003</v>
      </c>
      <c r="W132" s="612"/>
      <c r="X132" s="613"/>
      <c r="Y132" s="613"/>
      <c r="Z132" s="613"/>
      <c r="AA132" s="613"/>
      <c r="AB132" s="613"/>
      <c r="AC132" s="616"/>
      <c r="AD132" s="346">
        <v>42795</v>
      </c>
      <c r="AE132" s="618">
        <f t="shared" ca="1" si="13"/>
        <v>-604</v>
      </c>
      <c r="AF132" s="339" t="s">
        <v>1295</v>
      </c>
    </row>
    <row r="133" spans="1:32" s="541" customFormat="1" ht="38.25" x14ac:dyDescent="0.2">
      <c r="A133" s="646" t="s">
        <v>2005</v>
      </c>
      <c r="B133" s="339"/>
      <c r="C133" s="339" t="s">
        <v>2006</v>
      </c>
      <c r="D133" s="340" t="s">
        <v>2007</v>
      </c>
      <c r="E133" s="340" t="s">
        <v>2008</v>
      </c>
      <c r="F133" s="365">
        <v>16450</v>
      </c>
      <c r="G133" s="673">
        <v>0</v>
      </c>
      <c r="H133" s="673">
        <v>0</v>
      </c>
      <c r="I133" s="673">
        <v>0</v>
      </c>
      <c r="J133" s="673">
        <v>0</v>
      </c>
      <c r="K133" s="673">
        <v>26450</v>
      </c>
      <c r="L133" s="673">
        <v>0</v>
      </c>
      <c r="M133" s="673">
        <v>0</v>
      </c>
      <c r="N133" s="673">
        <v>0</v>
      </c>
      <c r="O133" s="673">
        <v>0</v>
      </c>
      <c r="P133" s="673">
        <v>0</v>
      </c>
      <c r="Q133" s="673">
        <v>0</v>
      </c>
      <c r="R133" s="673">
        <v>0</v>
      </c>
      <c r="S133" s="656">
        <f t="shared" si="11"/>
        <v>26450</v>
      </c>
      <c r="T133" s="617">
        <f t="shared" ca="1" si="12"/>
        <v>-1193</v>
      </c>
      <c r="U133" s="611">
        <v>43189</v>
      </c>
      <c r="V133" s="345" t="s">
        <v>2009</v>
      </c>
      <c r="W133" s="612"/>
      <c r="X133" s="613"/>
      <c r="Y133" s="613"/>
      <c r="Z133" s="613"/>
      <c r="AA133" s="613"/>
      <c r="AB133" s="613"/>
      <c r="AC133" s="616"/>
      <c r="AD133" s="346">
        <v>42825</v>
      </c>
      <c r="AE133" s="618">
        <f t="shared" ca="1" si="13"/>
        <v>-634</v>
      </c>
      <c r="AF133" s="339" t="s">
        <v>48</v>
      </c>
    </row>
    <row r="134" spans="1:32" s="541" customFormat="1" ht="38.25" x14ac:dyDescent="0.2">
      <c r="A134" s="646" t="s">
        <v>2010</v>
      </c>
      <c r="B134" s="339" t="s">
        <v>2011</v>
      </c>
      <c r="C134" s="339"/>
      <c r="D134" s="340" t="s">
        <v>340</v>
      </c>
      <c r="E134" s="340" t="s">
        <v>2012</v>
      </c>
      <c r="F134" s="365">
        <v>24333.360000000001</v>
      </c>
      <c r="G134" s="673">
        <v>0</v>
      </c>
      <c r="H134" s="673">
        <v>0</v>
      </c>
      <c r="I134" s="673">
        <v>0</v>
      </c>
      <c r="J134" s="673">
        <v>1923.94</v>
      </c>
      <c r="K134" s="673">
        <v>1923.94</v>
      </c>
      <c r="L134" s="673">
        <v>0</v>
      </c>
      <c r="M134" s="673">
        <f>2027.78+2027.78</f>
        <v>4055.56</v>
      </c>
      <c r="N134" s="673">
        <v>2027.78</v>
      </c>
      <c r="O134" s="673">
        <v>2027.78</v>
      </c>
      <c r="P134" s="673">
        <v>2027.78</v>
      </c>
      <c r="Q134" s="673">
        <v>2027.78</v>
      </c>
      <c r="R134" s="673">
        <v>2027.78</v>
      </c>
      <c r="S134" s="656">
        <f t="shared" si="11"/>
        <v>18042.340000000004</v>
      </c>
      <c r="T134" s="617">
        <f t="shared" ca="1" si="12"/>
        <v>-1200</v>
      </c>
      <c r="U134" s="611">
        <v>43182</v>
      </c>
      <c r="V134" s="345" t="s">
        <v>2013</v>
      </c>
      <c r="W134" s="612"/>
      <c r="X134" s="613"/>
      <c r="Y134" s="613"/>
      <c r="Z134" s="613"/>
      <c r="AA134" s="613"/>
      <c r="AB134" s="613"/>
      <c r="AC134" s="616"/>
      <c r="AD134" s="346">
        <v>42818</v>
      </c>
      <c r="AE134" s="618">
        <f t="shared" ca="1" si="13"/>
        <v>-627</v>
      </c>
      <c r="AF134" s="339" t="s">
        <v>96</v>
      </c>
    </row>
    <row r="135" spans="1:32" s="541" customFormat="1" ht="25.5" x14ac:dyDescent="0.2">
      <c r="A135" s="646" t="s">
        <v>2005</v>
      </c>
      <c r="B135" s="339"/>
      <c r="C135" s="339" t="s">
        <v>2006</v>
      </c>
      <c r="D135" s="340" t="s">
        <v>2018</v>
      </c>
      <c r="E135" s="340" t="s">
        <v>2019</v>
      </c>
      <c r="F135" s="365">
        <v>3554.6</v>
      </c>
      <c r="G135" s="673">
        <v>0</v>
      </c>
      <c r="H135" s="673">
        <v>0</v>
      </c>
      <c r="I135" s="673">
        <v>0</v>
      </c>
      <c r="J135" s="673">
        <v>0</v>
      </c>
      <c r="K135" s="673">
        <v>3554.6</v>
      </c>
      <c r="L135" s="673">
        <v>0</v>
      </c>
      <c r="M135" s="673">
        <v>0</v>
      </c>
      <c r="N135" s="673">
        <v>0</v>
      </c>
      <c r="O135" s="673">
        <v>0</v>
      </c>
      <c r="P135" s="673">
        <v>0</v>
      </c>
      <c r="Q135" s="673">
        <v>0</v>
      </c>
      <c r="R135" s="673">
        <v>0</v>
      </c>
      <c r="S135" s="656">
        <f t="shared" si="11"/>
        <v>3554.6</v>
      </c>
      <c r="T135" s="617">
        <f t="shared" ca="1" si="12"/>
        <v>-1188</v>
      </c>
      <c r="U135" s="611">
        <v>43194</v>
      </c>
      <c r="V135" s="345" t="s">
        <v>2020</v>
      </c>
      <c r="W135" s="612"/>
      <c r="X135" s="613"/>
      <c r="Y135" s="613"/>
      <c r="Z135" s="613"/>
      <c r="AA135" s="613"/>
      <c r="AB135" s="613"/>
      <c r="AC135" s="616"/>
      <c r="AD135" s="346">
        <v>42830</v>
      </c>
      <c r="AE135" s="618">
        <f t="shared" ca="1" si="13"/>
        <v>-639</v>
      </c>
      <c r="AF135" s="339" t="s">
        <v>48</v>
      </c>
    </row>
    <row r="136" spans="1:32" s="541" customFormat="1" ht="38.25" x14ac:dyDescent="0.2">
      <c r="A136" s="646" t="s">
        <v>1976</v>
      </c>
      <c r="B136" s="339" t="s">
        <v>1593</v>
      </c>
      <c r="C136" s="339" t="s">
        <v>2021</v>
      </c>
      <c r="D136" s="340" t="s">
        <v>1547</v>
      </c>
      <c r="E136" s="340" t="s">
        <v>2022</v>
      </c>
      <c r="F136" s="365">
        <v>87353.02</v>
      </c>
      <c r="G136" s="673">
        <v>0</v>
      </c>
      <c r="H136" s="673">
        <v>0</v>
      </c>
      <c r="I136" s="673">
        <v>0</v>
      </c>
      <c r="J136" s="673">
        <v>3990.55</v>
      </c>
      <c r="K136" s="673">
        <v>0</v>
      </c>
      <c r="L136" s="673">
        <v>0</v>
      </c>
      <c r="M136" s="673">
        <v>14913.22</v>
      </c>
      <c r="N136" s="673">
        <v>0</v>
      </c>
      <c r="O136" s="673">
        <v>0</v>
      </c>
      <c r="P136" s="673">
        <v>0</v>
      </c>
      <c r="Q136" s="673">
        <v>0</v>
      </c>
      <c r="R136" s="673">
        <v>0</v>
      </c>
      <c r="S136" s="656">
        <f t="shared" ref="S136:S165" si="14">SUM(G136:R136)</f>
        <v>18903.77</v>
      </c>
      <c r="T136" s="617">
        <f t="shared" ref="T136:T165" ca="1" si="15">U136-$AE$3</f>
        <v>-1138</v>
      </c>
      <c r="U136" s="611">
        <v>43244</v>
      </c>
      <c r="V136" s="345" t="s">
        <v>2023</v>
      </c>
      <c r="W136" s="612"/>
      <c r="X136" s="613"/>
      <c r="Y136" s="613"/>
      <c r="Z136" s="613"/>
      <c r="AA136" s="613"/>
      <c r="AB136" s="613"/>
      <c r="AC136" s="616"/>
      <c r="AD136" s="346">
        <v>42880</v>
      </c>
      <c r="AE136" s="618">
        <f t="shared" ref="AE136:AE165" ca="1" si="16">TODAY()-DATE(YEAR(AD136)+6,MONTH(AD136),DAY(AD136))</f>
        <v>-689</v>
      </c>
      <c r="AF136" s="339"/>
    </row>
    <row r="137" spans="1:32" s="541" customFormat="1" ht="51" x14ac:dyDescent="0.2">
      <c r="A137" s="646" t="s">
        <v>2024</v>
      </c>
      <c r="B137" s="339" t="s">
        <v>1840</v>
      </c>
      <c r="C137" s="339"/>
      <c r="D137" s="340" t="s">
        <v>2025</v>
      </c>
      <c r="E137" s="340" t="s">
        <v>2026</v>
      </c>
      <c r="F137" s="365">
        <v>13650</v>
      </c>
      <c r="G137" s="673">
        <v>0</v>
      </c>
      <c r="H137" s="673">
        <v>0</v>
      </c>
      <c r="I137" s="673">
        <v>0</v>
      </c>
      <c r="J137" s="673">
        <v>0</v>
      </c>
      <c r="K137" s="673">
        <v>13650</v>
      </c>
      <c r="L137" s="673">
        <v>0</v>
      </c>
      <c r="M137" s="673">
        <v>0</v>
      </c>
      <c r="N137" s="673">
        <v>0</v>
      </c>
      <c r="O137" s="673">
        <v>0</v>
      </c>
      <c r="P137" s="673">
        <v>0</v>
      </c>
      <c r="Q137" s="673">
        <v>0</v>
      </c>
      <c r="R137" s="673">
        <v>0</v>
      </c>
      <c r="S137" s="656">
        <f t="shared" si="14"/>
        <v>13650</v>
      </c>
      <c r="T137" s="617">
        <f t="shared" ca="1" si="15"/>
        <v>-1504</v>
      </c>
      <c r="U137" s="611">
        <v>42878</v>
      </c>
      <c r="V137" s="345" t="s">
        <v>2027</v>
      </c>
      <c r="W137" s="612"/>
      <c r="X137" s="613"/>
      <c r="Y137" s="613"/>
      <c r="Z137" s="613"/>
      <c r="AA137" s="613"/>
      <c r="AB137" s="613"/>
      <c r="AC137" s="616"/>
      <c r="AD137" s="346">
        <v>42863</v>
      </c>
      <c r="AE137" s="618">
        <f t="shared" ca="1" si="16"/>
        <v>-672</v>
      </c>
      <c r="AF137" s="339"/>
    </row>
    <row r="138" spans="1:32" s="541" customFormat="1" ht="25.5" x14ac:dyDescent="0.2">
      <c r="A138" s="646" t="s">
        <v>1756</v>
      </c>
      <c r="B138" s="339"/>
      <c r="C138" s="339"/>
      <c r="D138" s="340" t="s">
        <v>2039</v>
      </c>
      <c r="E138" s="340" t="s">
        <v>1798</v>
      </c>
      <c r="F138" s="365">
        <v>0</v>
      </c>
      <c r="G138" s="673">
        <v>0</v>
      </c>
      <c r="H138" s="673">
        <v>0</v>
      </c>
      <c r="I138" s="673">
        <v>0</v>
      </c>
      <c r="J138" s="673">
        <v>0</v>
      </c>
      <c r="K138" s="673">
        <v>0</v>
      </c>
      <c r="L138" s="673">
        <v>0</v>
      </c>
      <c r="M138" s="673">
        <v>0</v>
      </c>
      <c r="N138" s="673">
        <v>0</v>
      </c>
      <c r="O138" s="673">
        <v>0</v>
      </c>
      <c r="P138" s="673">
        <v>0</v>
      </c>
      <c r="Q138" s="673">
        <v>0</v>
      </c>
      <c r="R138" s="673">
        <v>0</v>
      </c>
      <c r="S138" s="656">
        <f t="shared" si="14"/>
        <v>0</v>
      </c>
      <c r="T138" s="617">
        <f t="shared" ca="1" si="15"/>
        <v>-1123</v>
      </c>
      <c r="U138" s="611">
        <v>43259</v>
      </c>
      <c r="V138" s="345" t="s">
        <v>2040</v>
      </c>
      <c r="W138" s="612"/>
      <c r="X138" s="613"/>
      <c r="Y138" s="613"/>
      <c r="Z138" s="613"/>
      <c r="AA138" s="613"/>
      <c r="AB138" s="613"/>
      <c r="AC138" s="616"/>
      <c r="AD138" s="346">
        <v>42895</v>
      </c>
      <c r="AE138" s="618">
        <f t="shared" ca="1" si="16"/>
        <v>-704</v>
      </c>
      <c r="AF138" s="339" t="s">
        <v>1988</v>
      </c>
    </row>
    <row r="139" spans="1:32" s="541" customFormat="1" ht="38.25" x14ac:dyDescent="0.2">
      <c r="A139" s="646" t="s">
        <v>2047</v>
      </c>
      <c r="B139" s="339" t="s">
        <v>1840</v>
      </c>
      <c r="C139" s="339"/>
      <c r="D139" s="340" t="s">
        <v>2048</v>
      </c>
      <c r="E139" s="340" t="s">
        <v>2049</v>
      </c>
      <c r="F139" s="365">
        <v>10707</v>
      </c>
      <c r="G139" s="673">
        <v>0</v>
      </c>
      <c r="H139" s="673">
        <v>0</v>
      </c>
      <c r="I139" s="673">
        <v>0</v>
      </c>
      <c r="J139" s="673">
        <v>0</v>
      </c>
      <c r="K139" s="673">
        <v>0</v>
      </c>
      <c r="L139" s="673">
        <v>0</v>
      </c>
      <c r="M139" s="673">
        <v>10707</v>
      </c>
      <c r="N139" s="673">
        <v>0</v>
      </c>
      <c r="O139" s="673">
        <v>0</v>
      </c>
      <c r="P139" s="673">
        <v>0</v>
      </c>
      <c r="Q139" s="673">
        <v>0</v>
      </c>
      <c r="R139" s="673">
        <v>0</v>
      </c>
      <c r="S139" s="656">
        <f t="shared" si="14"/>
        <v>10707</v>
      </c>
      <c r="T139" s="617">
        <f t="shared" ca="1" si="15"/>
        <v>-354</v>
      </c>
      <c r="U139" s="611">
        <v>44028</v>
      </c>
      <c r="V139" s="345" t="s">
        <v>2050</v>
      </c>
      <c r="W139" s="612"/>
      <c r="X139" s="613"/>
      <c r="Y139" s="613"/>
      <c r="Z139" s="613"/>
      <c r="AA139" s="613"/>
      <c r="AB139" s="613"/>
      <c r="AC139" s="616"/>
      <c r="AD139" s="346">
        <v>42933</v>
      </c>
      <c r="AE139" s="618">
        <f t="shared" ca="1" si="16"/>
        <v>-742</v>
      </c>
      <c r="AF139" s="339" t="s">
        <v>41</v>
      </c>
    </row>
    <row r="140" spans="1:32" s="541" customFormat="1" ht="38.25" x14ac:dyDescent="0.2">
      <c r="A140" s="646" t="s">
        <v>1756</v>
      </c>
      <c r="B140" s="339"/>
      <c r="C140" s="339" t="s">
        <v>1757</v>
      </c>
      <c r="D140" s="340" t="s">
        <v>2055</v>
      </c>
      <c r="E140" s="340" t="s">
        <v>1798</v>
      </c>
      <c r="F140" s="365">
        <v>0</v>
      </c>
      <c r="G140" s="673">
        <v>0</v>
      </c>
      <c r="H140" s="673">
        <v>0</v>
      </c>
      <c r="I140" s="673">
        <v>0</v>
      </c>
      <c r="J140" s="673">
        <v>0</v>
      </c>
      <c r="K140" s="673">
        <v>0</v>
      </c>
      <c r="L140" s="673">
        <v>0</v>
      </c>
      <c r="M140" s="673">
        <v>0</v>
      </c>
      <c r="N140" s="673">
        <v>0</v>
      </c>
      <c r="O140" s="673">
        <v>0</v>
      </c>
      <c r="P140" s="673">
        <v>0</v>
      </c>
      <c r="Q140" s="673">
        <v>0</v>
      </c>
      <c r="R140" s="673">
        <v>0</v>
      </c>
      <c r="S140" s="656">
        <f t="shared" si="14"/>
        <v>0</v>
      </c>
      <c r="T140" s="617">
        <f t="shared" ca="1" si="15"/>
        <v>-1040</v>
      </c>
      <c r="U140" s="611">
        <v>43342</v>
      </c>
      <c r="V140" s="345" t="s">
        <v>2050</v>
      </c>
      <c r="W140" s="612"/>
      <c r="X140" s="613"/>
      <c r="Y140" s="613"/>
      <c r="Z140" s="613"/>
      <c r="AA140" s="613"/>
      <c r="AB140" s="613"/>
      <c r="AC140" s="616"/>
      <c r="AD140" s="346">
        <v>42976</v>
      </c>
      <c r="AE140" s="618">
        <f t="shared" ca="1" si="16"/>
        <v>-785</v>
      </c>
      <c r="AF140" s="339" t="s">
        <v>1763</v>
      </c>
    </row>
    <row r="141" spans="1:32" s="541" customFormat="1" ht="38.25" x14ac:dyDescent="0.2">
      <c r="A141" s="646" t="s">
        <v>1756</v>
      </c>
      <c r="B141" s="339"/>
      <c r="C141" s="339" t="s">
        <v>1757</v>
      </c>
      <c r="D141" s="340" t="s">
        <v>2056</v>
      </c>
      <c r="E141" s="340" t="s">
        <v>1798</v>
      </c>
      <c r="F141" s="365">
        <v>0</v>
      </c>
      <c r="G141" s="673">
        <v>0</v>
      </c>
      <c r="H141" s="673">
        <v>0</v>
      </c>
      <c r="I141" s="673">
        <v>0</v>
      </c>
      <c r="J141" s="673">
        <v>0</v>
      </c>
      <c r="K141" s="673">
        <v>0</v>
      </c>
      <c r="L141" s="673">
        <v>0</v>
      </c>
      <c r="M141" s="673">
        <v>0</v>
      </c>
      <c r="N141" s="673">
        <v>0</v>
      </c>
      <c r="O141" s="673">
        <v>0</v>
      </c>
      <c r="P141" s="673">
        <v>0</v>
      </c>
      <c r="Q141" s="673">
        <v>0</v>
      </c>
      <c r="R141" s="673">
        <v>0</v>
      </c>
      <c r="S141" s="656">
        <f t="shared" si="14"/>
        <v>0</v>
      </c>
      <c r="T141" s="617">
        <f t="shared" ca="1" si="15"/>
        <v>-1040</v>
      </c>
      <c r="U141" s="611">
        <v>43342</v>
      </c>
      <c r="V141" s="345" t="s">
        <v>2050</v>
      </c>
      <c r="W141" s="612"/>
      <c r="X141" s="613"/>
      <c r="Y141" s="613"/>
      <c r="Z141" s="613"/>
      <c r="AA141" s="613"/>
      <c r="AB141" s="613"/>
      <c r="AC141" s="616"/>
      <c r="AD141" s="346">
        <v>42976</v>
      </c>
      <c r="AE141" s="618">
        <f t="shared" ca="1" si="16"/>
        <v>-785</v>
      </c>
      <c r="AF141" s="339" t="s">
        <v>1763</v>
      </c>
    </row>
    <row r="142" spans="1:32" s="541" customFormat="1" ht="51" x14ac:dyDescent="0.2">
      <c r="A142" s="646" t="s">
        <v>2057</v>
      </c>
      <c r="B142" s="339" t="s">
        <v>2058</v>
      </c>
      <c r="C142" s="339"/>
      <c r="D142" s="340" t="s">
        <v>1282</v>
      </c>
      <c r="E142" s="340" t="s">
        <v>2059</v>
      </c>
      <c r="F142" s="365">
        <v>306134.94</v>
      </c>
      <c r="G142" s="673">
        <v>0</v>
      </c>
      <c r="H142" s="673">
        <v>0</v>
      </c>
      <c r="I142" s="673">
        <v>0</v>
      </c>
      <c r="J142" s="673">
        <v>0</v>
      </c>
      <c r="K142" s="673">
        <v>0</v>
      </c>
      <c r="L142" s="673">
        <v>0</v>
      </c>
      <c r="M142" s="673">
        <v>0</v>
      </c>
      <c r="N142" s="673">
        <v>0</v>
      </c>
      <c r="O142" s="673">
        <v>51022.49</v>
      </c>
      <c r="P142" s="673">
        <f>51022.49+32393.67</f>
        <v>83416.160000000003</v>
      </c>
      <c r="Q142" s="673">
        <v>51022.49</v>
      </c>
      <c r="R142" s="673">
        <v>51022.49</v>
      </c>
      <c r="S142" s="656">
        <f>SUM(G142:R142)</f>
        <v>236483.62999999998</v>
      </c>
      <c r="T142" s="610">
        <f t="shared" ca="1" si="15"/>
        <v>-1251</v>
      </c>
      <c r="U142" s="611">
        <v>43131</v>
      </c>
      <c r="V142" s="615" t="s">
        <v>2060</v>
      </c>
      <c r="W142" s="652" t="s">
        <v>2087</v>
      </c>
      <c r="X142" s="613"/>
      <c r="Y142" s="613"/>
      <c r="Z142" s="613"/>
      <c r="AA142" s="613"/>
      <c r="AB142" s="613"/>
      <c r="AC142" s="616"/>
      <c r="AD142" s="346">
        <v>42948</v>
      </c>
      <c r="AE142" s="614">
        <f t="shared" ca="1" si="16"/>
        <v>-757</v>
      </c>
      <c r="AF142" s="339" t="s">
        <v>41</v>
      </c>
    </row>
    <row r="143" spans="1:32" s="541" customFormat="1" ht="51" x14ac:dyDescent="0.2">
      <c r="A143" s="646" t="s">
        <v>2061</v>
      </c>
      <c r="B143" s="339" t="s">
        <v>2062</v>
      </c>
      <c r="C143" s="339"/>
      <c r="D143" s="340" t="s">
        <v>2063</v>
      </c>
      <c r="E143" s="340" t="s">
        <v>2064</v>
      </c>
      <c r="F143" s="365" t="s">
        <v>2070</v>
      </c>
      <c r="G143" s="673">
        <v>0</v>
      </c>
      <c r="H143" s="673">
        <v>0</v>
      </c>
      <c r="I143" s="673">
        <v>0</v>
      </c>
      <c r="J143" s="673">
        <v>0</v>
      </c>
      <c r="K143" s="673">
        <v>0</v>
      </c>
      <c r="L143" s="673">
        <v>0</v>
      </c>
      <c r="M143" s="673">
        <v>0</v>
      </c>
      <c r="N143" s="673">
        <v>0</v>
      </c>
      <c r="O143" s="673">
        <v>0</v>
      </c>
      <c r="P143" s="673">
        <v>283.10000000000002</v>
      </c>
      <c r="Q143" s="673">
        <v>274</v>
      </c>
      <c r="R143" s="673">
        <v>563</v>
      </c>
      <c r="S143" s="656">
        <f t="shared" si="14"/>
        <v>1120.0999999999999</v>
      </c>
      <c r="T143" s="617">
        <f t="shared" ca="1" si="15"/>
        <v>-1039</v>
      </c>
      <c r="U143" s="611">
        <v>43343</v>
      </c>
      <c r="V143" s="345" t="s">
        <v>2065</v>
      </c>
      <c r="W143" s="612"/>
      <c r="X143" s="613"/>
      <c r="Y143" s="613"/>
      <c r="Z143" s="613"/>
      <c r="AA143" s="613"/>
      <c r="AB143" s="613"/>
      <c r="AC143" s="616"/>
      <c r="AD143" s="346">
        <v>42979</v>
      </c>
      <c r="AE143" s="618">
        <f t="shared" ca="1" si="16"/>
        <v>-788</v>
      </c>
      <c r="AF143" s="339" t="s">
        <v>48</v>
      </c>
    </row>
    <row r="144" spans="1:32" s="541" customFormat="1" ht="42.75" customHeight="1" x14ac:dyDescent="0.2">
      <c r="A144" s="646" t="s">
        <v>2066</v>
      </c>
      <c r="B144" s="339"/>
      <c r="C144" s="339" t="s">
        <v>2067</v>
      </c>
      <c r="D144" s="340" t="s">
        <v>2068</v>
      </c>
      <c r="E144" s="340" t="s">
        <v>2069</v>
      </c>
      <c r="F144" s="365" t="s">
        <v>2071</v>
      </c>
      <c r="G144" s="673">
        <v>0</v>
      </c>
      <c r="H144" s="673">
        <v>0</v>
      </c>
      <c r="I144" s="673">
        <v>0</v>
      </c>
      <c r="J144" s="673">
        <v>0</v>
      </c>
      <c r="K144" s="673">
        <v>0</v>
      </c>
      <c r="L144" s="673">
        <v>0</v>
      </c>
      <c r="M144" s="673">
        <v>0</v>
      </c>
      <c r="N144" s="673">
        <v>0</v>
      </c>
      <c r="O144" s="673">
        <v>0</v>
      </c>
      <c r="P144" s="673">
        <v>0</v>
      </c>
      <c r="Q144" s="673">
        <v>0</v>
      </c>
      <c r="R144" s="673">
        <v>0</v>
      </c>
      <c r="S144" s="656">
        <f t="shared" si="14"/>
        <v>0</v>
      </c>
      <c r="T144" s="617">
        <f t="shared" ca="1" si="15"/>
        <v>-1046</v>
      </c>
      <c r="U144" s="611">
        <v>43336</v>
      </c>
      <c r="V144" s="345" t="s">
        <v>2072</v>
      </c>
      <c r="W144" s="612"/>
      <c r="X144" s="613"/>
      <c r="Y144" s="613"/>
      <c r="Z144" s="613"/>
      <c r="AA144" s="613"/>
      <c r="AB144" s="613"/>
      <c r="AC144" s="616"/>
      <c r="AD144" s="346">
        <v>42972</v>
      </c>
      <c r="AE144" s="618">
        <f t="shared" ca="1" si="16"/>
        <v>-781</v>
      </c>
      <c r="AF144" s="339" t="s">
        <v>48</v>
      </c>
    </row>
    <row r="145" spans="1:32" s="541" customFormat="1" ht="76.5" x14ac:dyDescent="0.2">
      <c r="A145" s="646" t="s">
        <v>2066</v>
      </c>
      <c r="B145" s="339"/>
      <c r="C145" s="339" t="s">
        <v>2067</v>
      </c>
      <c r="D145" s="340" t="s">
        <v>2068</v>
      </c>
      <c r="E145" s="340" t="s">
        <v>2073</v>
      </c>
      <c r="F145" s="365" t="s">
        <v>2074</v>
      </c>
      <c r="G145" s="673">
        <v>0</v>
      </c>
      <c r="H145" s="673">
        <v>0</v>
      </c>
      <c r="I145" s="673">
        <v>0</v>
      </c>
      <c r="J145" s="673">
        <v>0</v>
      </c>
      <c r="K145" s="673">
        <v>0</v>
      </c>
      <c r="L145" s="673">
        <v>0</v>
      </c>
      <c r="M145" s="673">
        <v>0</v>
      </c>
      <c r="N145" s="673">
        <v>0</v>
      </c>
      <c r="O145" s="673">
        <v>0</v>
      </c>
      <c r="P145" s="673">
        <v>0</v>
      </c>
      <c r="Q145" s="673">
        <v>0</v>
      </c>
      <c r="R145" s="673">
        <v>0</v>
      </c>
      <c r="S145" s="656">
        <f t="shared" si="14"/>
        <v>0</v>
      </c>
      <c r="T145" s="617">
        <f t="shared" ca="1" si="15"/>
        <v>-1046</v>
      </c>
      <c r="U145" s="611">
        <v>43336</v>
      </c>
      <c r="V145" s="345" t="s">
        <v>2072</v>
      </c>
      <c r="W145" s="612"/>
      <c r="X145" s="613"/>
      <c r="Y145" s="613"/>
      <c r="Z145" s="613"/>
      <c r="AA145" s="613"/>
      <c r="AB145" s="613"/>
      <c r="AC145" s="616"/>
      <c r="AD145" s="346">
        <v>42972</v>
      </c>
      <c r="AE145" s="618">
        <f t="shared" ca="1" si="16"/>
        <v>-781</v>
      </c>
      <c r="AF145" s="339" t="s">
        <v>48</v>
      </c>
    </row>
    <row r="146" spans="1:32" s="541" customFormat="1" ht="38.25" x14ac:dyDescent="0.2">
      <c r="A146" s="646" t="s">
        <v>2077</v>
      </c>
      <c r="B146" s="339" t="s">
        <v>2062</v>
      </c>
      <c r="C146" s="339"/>
      <c r="D146" s="340" t="s">
        <v>2078</v>
      </c>
      <c r="E146" s="340" t="s">
        <v>2079</v>
      </c>
      <c r="F146" s="365">
        <v>9600</v>
      </c>
      <c r="G146" s="673">
        <v>0</v>
      </c>
      <c r="H146" s="673">
        <v>0</v>
      </c>
      <c r="I146" s="673">
        <v>0</v>
      </c>
      <c r="J146" s="673">
        <v>0</v>
      </c>
      <c r="K146" s="673">
        <v>0</v>
      </c>
      <c r="L146" s="673">
        <v>0</v>
      </c>
      <c r="M146" s="673">
        <v>0</v>
      </c>
      <c r="N146" s="673">
        <v>0</v>
      </c>
      <c r="O146" s="673">
        <v>0</v>
      </c>
      <c r="P146" s="673">
        <v>800</v>
      </c>
      <c r="Q146" s="673">
        <v>800</v>
      </c>
      <c r="R146" s="673">
        <v>800</v>
      </c>
      <c r="S146" s="656">
        <f t="shared" si="14"/>
        <v>2400</v>
      </c>
      <c r="T146" s="617">
        <f t="shared" ca="1" si="15"/>
        <v>-1039</v>
      </c>
      <c r="U146" s="611">
        <v>43343</v>
      </c>
      <c r="V146" s="345" t="s">
        <v>2065</v>
      </c>
      <c r="W146" s="612"/>
      <c r="X146" s="613"/>
      <c r="Y146" s="613"/>
      <c r="Z146" s="613"/>
      <c r="AA146" s="613"/>
      <c r="AB146" s="613"/>
      <c r="AC146" s="616"/>
      <c r="AD146" s="346">
        <v>42979</v>
      </c>
      <c r="AE146" s="618">
        <f t="shared" ca="1" si="16"/>
        <v>-788</v>
      </c>
      <c r="AF146" s="339" t="s">
        <v>48</v>
      </c>
    </row>
    <row r="147" spans="1:32" s="541" customFormat="1" ht="25.5" x14ac:dyDescent="0.2">
      <c r="A147" s="646" t="s">
        <v>1756</v>
      </c>
      <c r="B147" s="339" t="s">
        <v>2091</v>
      </c>
      <c r="C147" s="339"/>
      <c r="D147" s="340" t="s">
        <v>2092</v>
      </c>
      <c r="E147" s="340" t="s">
        <v>1798</v>
      </c>
      <c r="F147" s="365">
        <v>0</v>
      </c>
      <c r="G147" s="673">
        <v>0</v>
      </c>
      <c r="H147" s="673">
        <v>0</v>
      </c>
      <c r="I147" s="673">
        <v>0</v>
      </c>
      <c r="J147" s="673">
        <v>0</v>
      </c>
      <c r="K147" s="673">
        <v>0</v>
      </c>
      <c r="L147" s="673">
        <v>0</v>
      </c>
      <c r="M147" s="673">
        <v>0</v>
      </c>
      <c r="N147" s="673">
        <v>0</v>
      </c>
      <c r="O147" s="673">
        <v>0</v>
      </c>
      <c r="P147" s="673">
        <v>0</v>
      </c>
      <c r="Q147" s="673">
        <v>0</v>
      </c>
      <c r="R147" s="673">
        <v>0</v>
      </c>
      <c r="S147" s="656">
        <f t="shared" si="14"/>
        <v>0</v>
      </c>
      <c r="T147" s="617">
        <f t="shared" ca="1" si="15"/>
        <v>-990</v>
      </c>
      <c r="U147" s="611">
        <v>43392</v>
      </c>
      <c r="V147" s="345" t="s">
        <v>2093</v>
      </c>
      <c r="W147" s="612"/>
      <c r="X147" s="613"/>
      <c r="Y147" s="613"/>
      <c r="Z147" s="613"/>
      <c r="AA147" s="613"/>
      <c r="AB147" s="613"/>
      <c r="AC147" s="616"/>
      <c r="AD147" s="346">
        <v>43025</v>
      </c>
      <c r="AE147" s="618">
        <f t="shared" ca="1" si="16"/>
        <v>-834</v>
      </c>
      <c r="AF147" s="339" t="s">
        <v>1988</v>
      </c>
    </row>
    <row r="148" spans="1:32" s="541" customFormat="1" ht="38.25" x14ac:dyDescent="0.2">
      <c r="A148" s="646" t="s">
        <v>2096</v>
      </c>
      <c r="B148" s="339" t="s">
        <v>2062</v>
      </c>
      <c r="C148" s="339"/>
      <c r="D148" s="340" t="s">
        <v>2097</v>
      </c>
      <c r="E148" s="340" t="s">
        <v>2098</v>
      </c>
      <c r="F148" s="365">
        <v>8800</v>
      </c>
      <c r="G148" s="673">
        <v>0</v>
      </c>
      <c r="H148" s="673">
        <v>0</v>
      </c>
      <c r="I148" s="673">
        <v>0</v>
      </c>
      <c r="J148" s="673">
        <v>0</v>
      </c>
      <c r="K148" s="673">
        <v>0</v>
      </c>
      <c r="L148" s="673">
        <v>0</v>
      </c>
      <c r="M148" s="673">
        <v>0</v>
      </c>
      <c r="N148" s="673">
        <v>0</v>
      </c>
      <c r="O148" s="673">
        <v>0</v>
      </c>
      <c r="P148" s="673">
        <v>0</v>
      </c>
      <c r="Q148" s="673">
        <v>0</v>
      </c>
      <c r="R148" s="673">
        <v>0</v>
      </c>
      <c r="S148" s="656">
        <f t="shared" si="14"/>
        <v>0</v>
      </c>
      <c r="T148" s="617">
        <f t="shared" ca="1" si="15"/>
        <v>-556</v>
      </c>
      <c r="U148" s="611">
        <v>43826</v>
      </c>
      <c r="V148" s="345" t="s">
        <v>2099</v>
      </c>
      <c r="W148" s="612"/>
      <c r="X148" s="613"/>
      <c r="Y148" s="613"/>
      <c r="Z148" s="613"/>
      <c r="AA148" s="613"/>
      <c r="AB148" s="613"/>
      <c r="AC148" s="616"/>
      <c r="AD148" s="346">
        <v>43097</v>
      </c>
      <c r="AE148" s="618">
        <f t="shared" ca="1" si="16"/>
        <v>-906</v>
      </c>
      <c r="AF148" s="339" t="s">
        <v>41</v>
      </c>
    </row>
    <row r="149" spans="1:32" s="541" customFormat="1" ht="178.5" x14ac:dyDescent="0.2">
      <c r="A149" s="646" t="s">
        <v>2101</v>
      </c>
      <c r="B149" s="339"/>
      <c r="C149" s="339" t="s">
        <v>2102</v>
      </c>
      <c r="D149" s="340" t="s">
        <v>2103</v>
      </c>
      <c r="E149" s="340" t="s">
        <v>2104</v>
      </c>
      <c r="F149" s="365">
        <v>3100000</v>
      </c>
      <c r="G149" s="673">
        <v>0</v>
      </c>
      <c r="H149" s="673">
        <v>0</v>
      </c>
      <c r="I149" s="673">
        <v>0</v>
      </c>
      <c r="J149" s="673">
        <v>0</v>
      </c>
      <c r="K149" s="673">
        <v>0</v>
      </c>
      <c r="L149" s="673">
        <v>0</v>
      </c>
      <c r="M149" s="673">
        <v>0</v>
      </c>
      <c r="N149" s="673">
        <v>0</v>
      </c>
      <c r="O149" s="673">
        <v>0</v>
      </c>
      <c r="P149" s="673">
        <v>0</v>
      </c>
      <c r="Q149" s="673">
        <v>0</v>
      </c>
      <c r="R149" s="673">
        <v>0</v>
      </c>
      <c r="S149" s="656">
        <f t="shared" si="14"/>
        <v>0</v>
      </c>
      <c r="T149" s="617">
        <f t="shared" ca="1" si="15"/>
        <v>176</v>
      </c>
      <c r="U149" s="611">
        <v>44558</v>
      </c>
      <c r="V149" s="345" t="s">
        <v>2105</v>
      </c>
      <c r="W149" s="612"/>
      <c r="X149" s="613"/>
      <c r="Y149" s="613"/>
      <c r="Z149" s="613"/>
      <c r="AA149" s="613"/>
      <c r="AB149" s="613"/>
      <c r="AC149" s="616"/>
      <c r="AD149" s="346">
        <v>43098</v>
      </c>
      <c r="AE149" s="618">
        <f t="shared" ca="1" si="16"/>
        <v>-907</v>
      </c>
      <c r="AF149" s="339" t="s">
        <v>41</v>
      </c>
    </row>
    <row r="150" spans="1:32" s="541" customFormat="1" ht="25.5" x14ac:dyDescent="0.2">
      <c r="A150" s="646" t="s">
        <v>1756</v>
      </c>
      <c r="B150" s="339" t="s">
        <v>2091</v>
      </c>
      <c r="C150" s="339"/>
      <c r="D150" s="340" t="s">
        <v>2107</v>
      </c>
      <c r="E150" s="340" t="s">
        <v>1798</v>
      </c>
      <c r="F150" s="365">
        <v>0</v>
      </c>
      <c r="G150" s="673">
        <v>0</v>
      </c>
      <c r="H150" s="673">
        <v>0</v>
      </c>
      <c r="I150" s="673">
        <v>0</v>
      </c>
      <c r="J150" s="673">
        <v>0</v>
      </c>
      <c r="K150" s="673">
        <v>0</v>
      </c>
      <c r="L150" s="673">
        <v>0</v>
      </c>
      <c r="M150" s="673">
        <v>0</v>
      </c>
      <c r="N150" s="673">
        <v>0</v>
      </c>
      <c r="O150" s="673">
        <v>0</v>
      </c>
      <c r="P150" s="673">
        <v>0</v>
      </c>
      <c r="Q150" s="673">
        <v>0</v>
      </c>
      <c r="R150" s="673">
        <v>0</v>
      </c>
      <c r="S150" s="656">
        <f t="shared" si="14"/>
        <v>0</v>
      </c>
      <c r="T150" s="617">
        <f t="shared" ca="1" si="15"/>
        <v>-931</v>
      </c>
      <c r="U150" s="611">
        <v>43451</v>
      </c>
      <c r="V150" s="345" t="s">
        <v>2108</v>
      </c>
      <c r="W150" s="612"/>
      <c r="X150" s="613"/>
      <c r="Y150" s="613"/>
      <c r="Z150" s="613"/>
      <c r="AA150" s="613"/>
      <c r="AB150" s="613"/>
      <c r="AC150" s="616"/>
      <c r="AD150" s="346">
        <v>43070</v>
      </c>
      <c r="AE150" s="618">
        <f t="shared" ca="1" si="16"/>
        <v>-879</v>
      </c>
      <c r="AF150" s="339" t="s">
        <v>1988</v>
      </c>
    </row>
    <row r="151" spans="1:32" s="541" customFormat="1" ht="51" x14ac:dyDescent="0.2">
      <c r="A151" s="646" t="s">
        <v>2114</v>
      </c>
      <c r="B151" s="339" t="s">
        <v>1840</v>
      </c>
      <c r="C151" s="339"/>
      <c r="D151" s="340" t="s">
        <v>2115</v>
      </c>
      <c r="E151" s="340" t="s">
        <v>2116</v>
      </c>
      <c r="F151" s="365">
        <v>8854.4699999999993</v>
      </c>
      <c r="G151" s="673">
        <v>0</v>
      </c>
      <c r="H151" s="673">
        <v>0</v>
      </c>
      <c r="I151" s="673">
        <v>0</v>
      </c>
      <c r="J151" s="673">
        <v>0</v>
      </c>
      <c r="K151" s="673">
        <v>0</v>
      </c>
      <c r="L151" s="673">
        <v>0</v>
      </c>
      <c r="M151" s="673">
        <v>0</v>
      </c>
      <c r="N151" s="673">
        <v>0</v>
      </c>
      <c r="O151" s="673">
        <v>0</v>
      </c>
      <c r="P151" s="673">
        <v>0</v>
      </c>
      <c r="Q151" s="673">
        <v>0</v>
      </c>
      <c r="R151" s="673">
        <v>0</v>
      </c>
      <c r="S151" s="656">
        <f t="shared" si="14"/>
        <v>0</v>
      </c>
      <c r="T151" s="617">
        <f t="shared" ca="1" si="15"/>
        <v>-1261</v>
      </c>
      <c r="U151" s="611">
        <v>43121</v>
      </c>
      <c r="V151" s="345" t="s">
        <v>2117</v>
      </c>
      <c r="W151" s="612"/>
      <c r="X151" s="613"/>
      <c r="Y151" s="613"/>
      <c r="Z151" s="613"/>
      <c r="AA151" s="613"/>
      <c r="AB151" s="613"/>
      <c r="AC151" s="616"/>
      <c r="AD151" s="346">
        <v>43091</v>
      </c>
      <c r="AE151" s="618">
        <f t="shared" ca="1" si="16"/>
        <v>-900</v>
      </c>
      <c r="AF151" s="339" t="s">
        <v>96</v>
      </c>
    </row>
    <row r="152" spans="1:32" s="541" customFormat="1" ht="38.25" x14ac:dyDescent="0.2">
      <c r="A152" s="646" t="s">
        <v>2118</v>
      </c>
      <c r="B152" s="339" t="s">
        <v>1840</v>
      </c>
      <c r="C152" s="339"/>
      <c r="D152" s="340" t="s">
        <v>340</v>
      </c>
      <c r="E152" s="340" t="s">
        <v>2119</v>
      </c>
      <c r="F152" s="365">
        <v>11571.07</v>
      </c>
      <c r="G152" s="673">
        <v>0</v>
      </c>
      <c r="H152" s="673">
        <v>0</v>
      </c>
      <c r="I152" s="673">
        <v>0</v>
      </c>
      <c r="J152" s="673">
        <v>0</v>
      </c>
      <c r="K152" s="673">
        <v>0</v>
      </c>
      <c r="L152" s="673">
        <v>0</v>
      </c>
      <c r="M152" s="673">
        <v>0</v>
      </c>
      <c r="N152" s="673">
        <v>0</v>
      </c>
      <c r="O152" s="673">
        <v>0</v>
      </c>
      <c r="P152" s="673">
        <v>0</v>
      </c>
      <c r="Q152" s="673">
        <v>0</v>
      </c>
      <c r="R152" s="673">
        <v>0</v>
      </c>
      <c r="S152" s="656">
        <f t="shared" si="14"/>
        <v>0</v>
      </c>
      <c r="T152" s="617">
        <f t="shared" ca="1" si="15"/>
        <v>-928</v>
      </c>
      <c r="U152" s="611">
        <v>43454</v>
      </c>
      <c r="V152" s="345" t="s">
        <v>2120</v>
      </c>
      <c r="W152" s="612"/>
      <c r="X152" s="613"/>
      <c r="Y152" s="613"/>
      <c r="Z152" s="613"/>
      <c r="AA152" s="613"/>
      <c r="AB152" s="613"/>
      <c r="AC152" s="616"/>
      <c r="AD152" s="346">
        <v>43090</v>
      </c>
      <c r="AE152" s="618">
        <f t="shared" ca="1" si="16"/>
        <v>-899</v>
      </c>
      <c r="AF152" s="339" t="s">
        <v>96</v>
      </c>
    </row>
    <row r="153" spans="1:32" s="541" customFormat="1" ht="51" x14ac:dyDescent="0.2">
      <c r="A153" s="646" t="s">
        <v>2121</v>
      </c>
      <c r="B153" s="339" t="s">
        <v>1593</v>
      </c>
      <c r="C153" s="339" t="s">
        <v>2122</v>
      </c>
      <c r="D153" s="340" t="s">
        <v>2123</v>
      </c>
      <c r="E153" s="340" t="s">
        <v>1534</v>
      </c>
      <c r="F153" s="365">
        <v>74052.33</v>
      </c>
      <c r="G153" s="673">
        <v>0</v>
      </c>
      <c r="H153" s="673">
        <v>0</v>
      </c>
      <c r="I153" s="673">
        <v>0</v>
      </c>
      <c r="J153" s="673">
        <v>0</v>
      </c>
      <c r="K153" s="673">
        <v>0</v>
      </c>
      <c r="L153" s="673">
        <v>0</v>
      </c>
      <c r="M153" s="673">
        <v>0</v>
      </c>
      <c r="N153" s="673">
        <v>0</v>
      </c>
      <c r="O153" s="673">
        <v>0</v>
      </c>
      <c r="P153" s="673">
        <v>0</v>
      </c>
      <c r="Q153" s="673">
        <v>0</v>
      </c>
      <c r="R153" s="673">
        <v>0</v>
      </c>
      <c r="S153" s="656">
        <f t="shared" si="14"/>
        <v>0</v>
      </c>
      <c r="T153" s="617">
        <f t="shared" ca="1" si="15"/>
        <v>-927</v>
      </c>
      <c r="U153" s="611">
        <v>43455</v>
      </c>
      <c r="V153" s="345" t="s">
        <v>2117</v>
      </c>
      <c r="W153" s="612"/>
      <c r="X153" s="613"/>
      <c r="Y153" s="613"/>
      <c r="Z153" s="613"/>
      <c r="AA153" s="613"/>
      <c r="AB153" s="613"/>
      <c r="AC153" s="616"/>
      <c r="AD153" s="346">
        <v>43091</v>
      </c>
      <c r="AE153" s="618">
        <f t="shared" ca="1" si="16"/>
        <v>-900</v>
      </c>
      <c r="AF153" s="339" t="s">
        <v>48</v>
      </c>
    </row>
    <row r="154" spans="1:32" s="541" customFormat="1" x14ac:dyDescent="0.2">
      <c r="A154" s="646"/>
      <c r="B154" s="339"/>
      <c r="C154" s="339"/>
      <c r="D154" s="340"/>
      <c r="E154" s="340"/>
      <c r="F154" s="365"/>
      <c r="G154" s="673"/>
      <c r="H154" s="673"/>
      <c r="I154" s="673"/>
      <c r="J154" s="673"/>
      <c r="K154" s="673"/>
      <c r="L154" s="673"/>
      <c r="M154" s="673"/>
      <c r="N154" s="673"/>
      <c r="O154" s="673"/>
      <c r="P154" s="673"/>
      <c r="Q154" s="673"/>
      <c r="R154" s="673"/>
      <c r="S154" s="656">
        <f>SUM(G154:R154)</f>
        <v>0</v>
      </c>
      <c r="T154" s="617">
        <f ca="1">U154-$AE$3</f>
        <v>-44382</v>
      </c>
      <c r="U154" s="611"/>
      <c r="V154" s="345"/>
      <c r="W154" s="612"/>
      <c r="X154" s="613"/>
      <c r="Y154" s="613"/>
      <c r="Z154" s="613"/>
      <c r="AA154" s="613"/>
      <c r="AB154" s="613"/>
      <c r="AC154" s="616"/>
      <c r="AD154" s="346"/>
      <c r="AE154" s="618">
        <f ca="1">TODAY()-DATE(YEAR(AD154)+6,MONTH(AD154),DAY(AD154))</f>
        <v>42190</v>
      </c>
      <c r="AF154" s="339"/>
    </row>
    <row r="155" spans="1:32" s="541" customFormat="1" x14ac:dyDescent="0.2">
      <c r="A155" s="646"/>
      <c r="B155" s="339"/>
      <c r="C155" s="339"/>
      <c r="D155" s="340"/>
      <c r="E155" s="340"/>
      <c r="F155" s="365"/>
      <c r="G155" s="673"/>
      <c r="H155" s="673"/>
      <c r="I155" s="673"/>
      <c r="J155" s="673"/>
      <c r="K155" s="673"/>
      <c r="L155" s="673"/>
      <c r="M155" s="673"/>
      <c r="N155" s="673"/>
      <c r="O155" s="673"/>
      <c r="P155" s="673"/>
      <c r="Q155" s="673"/>
      <c r="R155" s="673"/>
      <c r="S155" s="656">
        <f>SUM(G155:R155)</f>
        <v>0</v>
      </c>
      <c r="T155" s="617">
        <f ca="1">U155-$AE$3</f>
        <v>-44382</v>
      </c>
      <c r="U155" s="611"/>
      <c r="V155" s="345"/>
      <c r="W155" s="612"/>
      <c r="X155" s="613"/>
      <c r="Y155" s="613"/>
      <c r="Z155" s="613"/>
      <c r="AA155" s="613"/>
      <c r="AB155" s="613"/>
      <c r="AC155" s="616"/>
      <c r="AD155" s="346"/>
      <c r="AE155" s="618">
        <f ca="1">TODAY()-DATE(YEAR(AD155)+6,MONTH(AD155),DAY(AD155))</f>
        <v>42190</v>
      </c>
      <c r="AF155" s="339"/>
    </row>
    <row r="156" spans="1:32" s="541" customFormat="1" x14ac:dyDescent="0.2">
      <c r="A156" s="646"/>
      <c r="B156" s="339"/>
      <c r="C156" s="339"/>
      <c r="D156" s="340"/>
      <c r="E156" s="340"/>
      <c r="F156" s="365"/>
      <c r="G156" s="673"/>
      <c r="H156" s="673"/>
      <c r="I156" s="673"/>
      <c r="J156" s="673"/>
      <c r="K156" s="673"/>
      <c r="L156" s="673"/>
      <c r="M156" s="673"/>
      <c r="N156" s="673"/>
      <c r="O156" s="673"/>
      <c r="P156" s="673"/>
      <c r="Q156" s="673"/>
      <c r="R156" s="673"/>
      <c r="S156" s="656">
        <f>SUM(G156:R156)</f>
        <v>0</v>
      </c>
      <c r="T156" s="617">
        <f ca="1">U156-$AE$3</f>
        <v>-44382</v>
      </c>
      <c r="U156" s="611"/>
      <c r="V156" s="345"/>
      <c r="W156" s="612"/>
      <c r="X156" s="613"/>
      <c r="Y156" s="613"/>
      <c r="Z156" s="613"/>
      <c r="AA156" s="613"/>
      <c r="AB156" s="613"/>
      <c r="AC156" s="616"/>
      <c r="AD156" s="346"/>
      <c r="AE156" s="618">
        <f ca="1">TODAY()-DATE(YEAR(AD156)+6,MONTH(AD156),DAY(AD156))</f>
        <v>42190</v>
      </c>
      <c r="AF156" s="339"/>
    </row>
    <row r="157" spans="1:32" s="541" customFormat="1" x14ac:dyDescent="0.2">
      <c r="A157" s="646"/>
      <c r="B157" s="339"/>
      <c r="C157" s="339"/>
      <c r="D157" s="340"/>
      <c r="E157" s="340"/>
      <c r="F157" s="365"/>
      <c r="G157" s="673"/>
      <c r="H157" s="673"/>
      <c r="I157" s="673"/>
      <c r="J157" s="673"/>
      <c r="K157" s="673"/>
      <c r="L157" s="673"/>
      <c r="M157" s="673"/>
      <c r="N157" s="673"/>
      <c r="O157" s="673"/>
      <c r="P157" s="673"/>
      <c r="Q157" s="673"/>
      <c r="R157" s="673"/>
      <c r="S157" s="656">
        <f>SUM(G157:R157)</f>
        <v>0</v>
      </c>
      <c r="T157" s="617">
        <f ca="1">U157-$AE$3</f>
        <v>-44382</v>
      </c>
      <c r="U157" s="611"/>
      <c r="V157" s="345"/>
      <c r="W157" s="612"/>
      <c r="X157" s="613"/>
      <c r="Y157" s="613"/>
      <c r="Z157" s="613"/>
      <c r="AA157" s="613"/>
      <c r="AB157" s="613"/>
      <c r="AC157" s="616"/>
      <c r="AD157" s="346"/>
      <c r="AE157" s="618">
        <f ca="1">TODAY()-DATE(YEAR(AD157)+6,MONTH(AD157),DAY(AD157))</f>
        <v>42190</v>
      </c>
      <c r="AF157" s="339"/>
    </row>
    <row r="158" spans="1:32" s="541" customFormat="1" x14ac:dyDescent="0.2">
      <c r="A158" s="646"/>
      <c r="B158" s="339"/>
      <c r="C158" s="339"/>
      <c r="D158" s="340"/>
      <c r="E158" s="340"/>
      <c r="F158" s="365"/>
      <c r="G158" s="673"/>
      <c r="H158" s="673"/>
      <c r="I158" s="673"/>
      <c r="J158" s="673"/>
      <c r="K158" s="673"/>
      <c r="L158" s="673"/>
      <c r="M158" s="673"/>
      <c r="N158" s="673"/>
      <c r="O158" s="673"/>
      <c r="P158" s="673"/>
      <c r="Q158" s="673"/>
      <c r="R158" s="673"/>
      <c r="S158" s="656">
        <f t="shared" si="14"/>
        <v>0</v>
      </c>
      <c r="T158" s="617">
        <f t="shared" ca="1" si="15"/>
        <v>-44382</v>
      </c>
      <c r="U158" s="611"/>
      <c r="V158" s="345"/>
      <c r="W158" s="612"/>
      <c r="X158" s="613"/>
      <c r="Y158" s="613"/>
      <c r="Z158" s="613"/>
      <c r="AA158" s="613"/>
      <c r="AB158" s="613"/>
      <c r="AC158" s="616"/>
      <c r="AD158" s="346"/>
      <c r="AE158" s="618">
        <f t="shared" ca="1" si="16"/>
        <v>42190</v>
      </c>
      <c r="AF158" s="339"/>
    </row>
    <row r="159" spans="1:32" s="541" customFormat="1" x14ac:dyDescent="0.2">
      <c r="A159" s="646"/>
      <c r="B159" s="339"/>
      <c r="C159" s="339"/>
      <c r="D159" s="340"/>
      <c r="E159" s="340"/>
      <c r="F159" s="365"/>
      <c r="G159" s="673"/>
      <c r="H159" s="673"/>
      <c r="I159" s="673"/>
      <c r="J159" s="673"/>
      <c r="K159" s="673"/>
      <c r="L159" s="673"/>
      <c r="M159" s="673"/>
      <c r="N159" s="673"/>
      <c r="O159" s="673"/>
      <c r="P159" s="673"/>
      <c r="Q159" s="673"/>
      <c r="R159" s="673"/>
      <c r="S159" s="656">
        <f t="shared" si="14"/>
        <v>0</v>
      </c>
      <c r="T159" s="617">
        <f t="shared" ca="1" si="15"/>
        <v>-44382</v>
      </c>
      <c r="U159" s="611"/>
      <c r="V159" s="345"/>
      <c r="W159" s="612"/>
      <c r="X159" s="613"/>
      <c r="Y159" s="613"/>
      <c r="Z159" s="613"/>
      <c r="AA159" s="613"/>
      <c r="AB159" s="613"/>
      <c r="AC159" s="616"/>
      <c r="AD159" s="346"/>
      <c r="AE159" s="618">
        <f t="shared" ca="1" si="16"/>
        <v>42190</v>
      </c>
      <c r="AF159" s="339"/>
    </row>
    <row r="160" spans="1:32" s="541" customFormat="1" x14ac:dyDescent="0.2">
      <c r="A160" s="646"/>
      <c r="B160" s="339"/>
      <c r="C160" s="339"/>
      <c r="D160" s="340"/>
      <c r="E160" s="340"/>
      <c r="F160" s="365"/>
      <c r="G160" s="673"/>
      <c r="H160" s="673"/>
      <c r="I160" s="673"/>
      <c r="J160" s="673"/>
      <c r="K160" s="673"/>
      <c r="L160" s="673"/>
      <c r="M160" s="673"/>
      <c r="N160" s="673"/>
      <c r="O160" s="673"/>
      <c r="P160" s="673"/>
      <c r="Q160" s="673"/>
      <c r="R160" s="673"/>
      <c r="S160" s="656">
        <f>SUM(G160:R160)</f>
        <v>0</v>
      </c>
      <c r="T160" s="617">
        <f ca="1">U160-$AE$3</f>
        <v>-44382</v>
      </c>
      <c r="U160" s="611"/>
      <c r="V160" s="345"/>
      <c r="W160" s="612"/>
      <c r="X160" s="613"/>
      <c r="Y160" s="613"/>
      <c r="Z160" s="613"/>
      <c r="AA160" s="613"/>
      <c r="AB160" s="613"/>
      <c r="AC160" s="616"/>
      <c r="AD160" s="346"/>
      <c r="AE160" s="618">
        <f ca="1">TODAY()-DATE(YEAR(AD160)+6,MONTH(AD160),DAY(AD160))</f>
        <v>42190</v>
      </c>
      <c r="AF160" s="339"/>
    </row>
    <row r="161" spans="1:32" s="541" customFormat="1" x14ac:dyDescent="0.2">
      <c r="A161" s="646"/>
      <c r="B161" s="339"/>
      <c r="C161" s="339"/>
      <c r="D161" s="340"/>
      <c r="E161" s="340"/>
      <c r="F161" s="365"/>
      <c r="G161" s="673"/>
      <c r="H161" s="673"/>
      <c r="I161" s="673"/>
      <c r="J161" s="673"/>
      <c r="K161" s="673"/>
      <c r="L161" s="673"/>
      <c r="M161" s="673"/>
      <c r="N161" s="673"/>
      <c r="O161" s="673"/>
      <c r="P161" s="673"/>
      <c r="Q161" s="673"/>
      <c r="R161" s="673"/>
      <c r="S161" s="656">
        <f>SUM(G161:R161)</f>
        <v>0</v>
      </c>
      <c r="T161" s="617">
        <f ca="1">U161-$AE$3</f>
        <v>-44382</v>
      </c>
      <c r="U161" s="611"/>
      <c r="V161" s="345"/>
      <c r="W161" s="612"/>
      <c r="X161" s="613"/>
      <c r="Y161" s="613"/>
      <c r="Z161" s="613"/>
      <c r="AA161" s="613"/>
      <c r="AB161" s="613"/>
      <c r="AC161" s="616"/>
      <c r="AD161" s="346"/>
      <c r="AE161" s="618">
        <f ca="1">TODAY()-DATE(YEAR(AD161)+6,MONTH(AD161),DAY(AD161))</f>
        <v>42190</v>
      </c>
      <c r="AF161" s="339"/>
    </row>
    <row r="162" spans="1:32" s="541" customFormat="1" x14ac:dyDescent="0.2">
      <c r="A162" s="646"/>
      <c r="B162" s="339"/>
      <c r="C162" s="339"/>
      <c r="D162" s="340"/>
      <c r="E162" s="340"/>
      <c r="F162" s="365"/>
      <c r="G162" s="673"/>
      <c r="H162" s="673"/>
      <c r="I162" s="673"/>
      <c r="J162" s="673"/>
      <c r="K162" s="673"/>
      <c r="L162" s="673"/>
      <c r="M162" s="673"/>
      <c r="N162" s="673"/>
      <c r="O162" s="673"/>
      <c r="P162" s="673"/>
      <c r="Q162" s="673"/>
      <c r="R162" s="673"/>
      <c r="S162" s="656">
        <f>SUM(G162:R162)</f>
        <v>0</v>
      </c>
      <c r="T162" s="617">
        <f ca="1">U162-$AE$3</f>
        <v>-44382</v>
      </c>
      <c r="U162" s="611"/>
      <c r="V162" s="345"/>
      <c r="W162" s="612"/>
      <c r="X162" s="613"/>
      <c r="Y162" s="613"/>
      <c r="Z162" s="613"/>
      <c r="AA162" s="613"/>
      <c r="AB162" s="613"/>
      <c r="AC162" s="616"/>
      <c r="AD162" s="346"/>
      <c r="AE162" s="618">
        <f ca="1">TODAY()-DATE(YEAR(AD162)+6,MONTH(AD162),DAY(AD162))</f>
        <v>42190</v>
      </c>
      <c r="AF162" s="339"/>
    </row>
    <row r="163" spans="1:32" s="541" customFormat="1" x14ac:dyDescent="0.2">
      <c r="A163" s="646"/>
      <c r="B163" s="339"/>
      <c r="C163" s="339"/>
      <c r="D163" s="340"/>
      <c r="E163" s="340"/>
      <c r="F163" s="365"/>
      <c r="G163" s="673"/>
      <c r="H163" s="673"/>
      <c r="I163" s="673"/>
      <c r="J163" s="673"/>
      <c r="K163" s="673"/>
      <c r="L163" s="673"/>
      <c r="M163" s="673"/>
      <c r="N163" s="673"/>
      <c r="O163" s="673"/>
      <c r="P163" s="673"/>
      <c r="Q163" s="673"/>
      <c r="R163" s="673"/>
      <c r="S163" s="656">
        <f>SUM(G163:R163)</f>
        <v>0</v>
      </c>
      <c r="T163" s="617">
        <f ca="1">U163-$AE$3</f>
        <v>-44382</v>
      </c>
      <c r="U163" s="611"/>
      <c r="V163" s="345"/>
      <c r="W163" s="612"/>
      <c r="X163" s="613"/>
      <c r="Y163" s="613"/>
      <c r="Z163" s="613"/>
      <c r="AA163" s="613"/>
      <c r="AB163" s="613"/>
      <c r="AC163" s="616"/>
      <c r="AD163" s="346"/>
      <c r="AE163" s="618">
        <f ca="1">TODAY()-DATE(YEAR(AD163)+6,MONTH(AD163),DAY(AD163))</f>
        <v>42190</v>
      </c>
      <c r="AF163" s="339"/>
    </row>
    <row r="164" spans="1:32" s="541" customFormat="1" x14ac:dyDescent="0.2">
      <c r="A164" s="646"/>
      <c r="B164" s="339"/>
      <c r="C164" s="339"/>
      <c r="D164" s="340"/>
      <c r="E164" s="340"/>
      <c r="F164" s="365"/>
      <c r="G164" s="673"/>
      <c r="H164" s="673"/>
      <c r="I164" s="673"/>
      <c r="J164" s="673"/>
      <c r="K164" s="673"/>
      <c r="L164" s="673"/>
      <c r="M164" s="673"/>
      <c r="N164" s="673"/>
      <c r="O164" s="673"/>
      <c r="P164" s="673"/>
      <c r="Q164" s="673"/>
      <c r="R164" s="673"/>
      <c r="S164" s="656">
        <f t="shared" si="14"/>
        <v>0</v>
      </c>
      <c r="T164" s="617">
        <f t="shared" ca="1" si="15"/>
        <v>-44382</v>
      </c>
      <c r="U164" s="611"/>
      <c r="V164" s="345"/>
      <c r="W164" s="612"/>
      <c r="X164" s="613"/>
      <c r="Y164" s="613"/>
      <c r="Z164" s="613"/>
      <c r="AA164" s="613"/>
      <c r="AB164" s="613"/>
      <c r="AC164" s="616"/>
      <c r="AD164" s="346"/>
      <c r="AE164" s="618">
        <f t="shared" ca="1" si="16"/>
        <v>42190</v>
      </c>
      <c r="AF164" s="339"/>
    </row>
    <row r="165" spans="1:32" s="541" customFormat="1" x14ac:dyDescent="0.2">
      <c r="A165" s="646"/>
      <c r="B165" s="339"/>
      <c r="C165" s="339"/>
      <c r="D165" s="340"/>
      <c r="E165" s="340"/>
      <c r="F165" s="365"/>
      <c r="G165" s="673"/>
      <c r="H165" s="673"/>
      <c r="I165" s="673"/>
      <c r="J165" s="673"/>
      <c r="K165" s="673"/>
      <c r="L165" s="673"/>
      <c r="M165" s="673"/>
      <c r="N165" s="673"/>
      <c r="O165" s="673"/>
      <c r="P165" s="673"/>
      <c r="Q165" s="673"/>
      <c r="R165" s="673"/>
      <c r="S165" s="656">
        <f t="shared" si="14"/>
        <v>0</v>
      </c>
      <c r="T165" s="617">
        <f t="shared" ca="1" si="15"/>
        <v>-44382</v>
      </c>
      <c r="U165" s="611"/>
      <c r="V165" s="345"/>
      <c r="W165" s="612"/>
      <c r="X165" s="613"/>
      <c r="Y165" s="613"/>
      <c r="Z165" s="613"/>
      <c r="AA165" s="613"/>
      <c r="AB165" s="613"/>
      <c r="AC165" s="616"/>
      <c r="AD165" s="346"/>
      <c r="AE165" s="618">
        <f t="shared" ca="1" si="16"/>
        <v>42190</v>
      </c>
      <c r="AF165" s="339"/>
    </row>
    <row r="166" spans="1:32" x14ac:dyDescent="0.2">
      <c r="D166" s="53" t="s">
        <v>1083</v>
      </c>
      <c r="E166" s="54" t="s">
        <v>1075</v>
      </c>
    </row>
    <row r="167" spans="1:32" x14ac:dyDescent="0.2">
      <c r="D167" s="53" t="s">
        <v>1084</v>
      </c>
      <c r="E167" s="253" t="s">
        <v>1076</v>
      </c>
    </row>
    <row r="168" spans="1:32" x14ac:dyDescent="0.2">
      <c r="D168" s="53" t="s">
        <v>1085</v>
      </c>
      <c r="E168" s="253" t="s">
        <v>1077</v>
      </c>
    </row>
    <row r="169" spans="1:32" x14ac:dyDescent="0.2">
      <c r="D169" s="1" t="s">
        <v>1086</v>
      </c>
      <c r="E169" s="253" t="s">
        <v>1078</v>
      </c>
    </row>
    <row r="170" spans="1:32" x14ac:dyDescent="0.2">
      <c r="D170" s="1" t="s">
        <v>1072</v>
      </c>
      <c r="E170" s="253" t="s">
        <v>1079</v>
      </c>
    </row>
    <row r="171" spans="1:32" x14ac:dyDescent="0.2">
      <c r="D171" s="308" t="s">
        <v>1071</v>
      </c>
      <c r="E171" s="253" t="s">
        <v>1080</v>
      </c>
    </row>
    <row r="172" spans="1:32" x14ac:dyDescent="0.2">
      <c r="D172" s="1" t="s">
        <v>1070</v>
      </c>
      <c r="E172" s="54" t="s">
        <v>1081</v>
      </c>
    </row>
    <row r="173" spans="1:32" x14ac:dyDescent="0.2">
      <c r="E173" s="471" t="s">
        <v>1082</v>
      </c>
    </row>
    <row r="174" spans="1:32" x14ac:dyDescent="0.2">
      <c r="E174" s="253" t="s">
        <v>1100</v>
      </c>
    </row>
    <row r="175" spans="1:32" x14ac:dyDescent="0.2">
      <c r="E175" s="253" t="s">
        <v>1860</v>
      </c>
    </row>
  </sheetData>
  <mergeCells count="16">
    <mergeCell ref="V4:V5"/>
    <mergeCell ref="W4:W5"/>
    <mergeCell ref="X4:AB4"/>
    <mergeCell ref="AC4:AC5"/>
    <mergeCell ref="AD4:AD5"/>
    <mergeCell ref="AF4:AF5"/>
    <mergeCell ref="V3:W3"/>
    <mergeCell ref="A4:A5"/>
    <mergeCell ref="B4:B5"/>
    <mergeCell ref="C4:C5"/>
    <mergeCell ref="D4:D5"/>
    <mergeCell ref="E4:E5"/>
    <mergeCell ref="F4:F5"/>
    <mergeCell ref="G4:S4"/>
    <mergeCell ref="T4:T5"/>
    <mergeCell ref="U4:U5"/>
  </mergeCells>
  <pageMargins left="0.511811024" right="0.511811024" top="0.78740157499999996" bottom="0.78740157499999996" header="0.31496062000000002" footer="0.31496062000000002"/>
  <pageSetup paperSize="9" scale="80" orientation="portrait" horizontalDpi="300" r:id="rId1"/>
  <colBreaks count="1" manualBreakCount="1">
    <brk id="5" max="1048575" man="1"/>
  </colBreaks>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AJ257"/>
  <sheetViews>
    <sheetView topLeftCell="A170" zoomScale="96" zoomScaleNormal="96" workbookViewId="0">
      <selection activeCell="D214" sqref="D214"/>
    </sheetView>
  </sheetViews>
  <sheetFormatPr defaultRowHeight="12.75" x14ac:dyDescent="0.2"/>
  <cols>
    <col min="1" max="1" width="17.5703125" style="712" bestFit="1" customWidth="1"/>
    <col min="2" max="2" width="11.7109375" style="712" customWidth="1"/>
    <col min="3" max="3" width="16.85546875" style="712" bestFit="1" customWidth="1"/>
    <col min="4" max="4" width="30.28515625" style="712" bestFit="1" customWidth="1"/>
    <col min="5" max="5" width="42.140625" style="712" customWidth="1"/>
    <col min="6" max="6" width="18.5703125" style="712" bestFit="1" customWidth="1"/>
    <col min="7" max="7" width="14.85546875" style="712" bestFit="1" customWidth="1"/>
    <col min="8" max="8" width="14.42578125" style="712" bestFit="1" customWidth="1"/>
    <col min="9" max="15" width="14.85546875" style="712" bestFit="1" customWidth="1"/>
    <col min="16" max="16" width="14.140625" style="712" bestFit="1" customWidth="1"/>
    <col min="17" max="17" width="14.85546875" style="712" bestFit="1" customWidth="1"/>
    <col min="18" max="18" width="14.140625" style="712" bestFit="1" customWidth="1"/>
    <col min="19" max="19" width="18.7109375" style="715" bestFit="1" customWidth="1"/>
    <col min="20" max="20" width="17.5703125" style="712" bestFit="1" customWidth="1"/>
    <col min="21" max="21" width="13.85546875" style="712" customWidth="1"/>
    <col min="22" max="22" width="37.140625" style="712" customWidth="1"/>
    <col min="23" max="23" width="19.5703125" style="712" bestFit="1" customWidth="1"/>
    <col min="24" max="25" width="3.28515625" style="712" customWidth="1"/>
    <col min="26" max="26" width="2.85546875" style="712" customWidth="1"/>
    <col min="27" max="27" width="4.28515625" style="712" customWidth="1"/>
    <col min="28" max="28" width="3.140625" style="712" customWidth="1"/>
    <col min="29" max="29" width="14.7109375" style="712" customWidth="1"/>
    <col min="30" max="30" width="12.85546875" style="712" customWidth="1"/>
    <col min="31" max="31" width="15" style="712" bestFit="1" customWidth="1"/>
    <col min="32" max="32" width="9.28515625" style="712" customWidth="1"/>
    <col min="33" max="16384" width="9.140625" style="712"/>
  </cols>
  <sheetData>
    <row r="2" spans="1:36" ht="29.25" customHeight="1" thickBot="1" x14ac:dyDescent="0.25">
      <c r="C2" s="713"/>
      <c r="D2" s="714"/>
      <c r="E2" s="712" t="s">
        <v>1498</v>
      </c>
      <c r="T2" s="716"/>
      <c r="U2" s="716"/>
      <c r="V2" s="716"/>
      <c r="AE2" s="717" t="s">
        <v>0</v>
      </c>
    </row>
    <row r="3" spans="1:36" ht="21" customHeight="1" thickBot="1" x14ac:dyDescent="0.25">
      <c r="C3" s="718"/>
      <c r="D3" s="719" t="s">
        <v>1390</v>
      </c>
      <c r="E3" s="712" t="s">
        <v>1499</v>
      </c>
      <c r="T3" s="720"/>
      <c r="U3" s="720"/>
      <c r="V3" s="1019" t="s">
        <v>1588</v>
      </c>
      <c r="W3" s="1019"/>
      <c r="AE3" s="721">
        <f ca="1">TODAY()</f>
        <v>44382</v>
      </c>
    </row>
    <row r="4" spans="1:36" ht="14.25" customHeight="1" x14ac:dyDescent="0.2">
      <c r="A4" s="1012" t="s">
        <v>2</v>
      </c>
      <c r="B4" s="1006" t="s">
        <v>3</v>
      </c>
      <c r="C4" s="1006" t="s">
        <v>4</v>
      </c>
      <c r="D4" s="1006" t="s">
        <v>5</v>
      </c>
      <c r="E4" s="1006" t="s">
        <v>6</v>
      </c>
      <c r="F4" s="1006" t="s">
        <v>7</v>
      </c>
      <c r="G4" s="1020" t="s">
        <v>2090</v>
      </c>
      <c r="H4" s="1020"/>
      <c r="I4" s="1020"/>
      <c r="J4" s="1020"/>
      <c r="K4" s="1020"/>
      <c r="L4" s="1020"/>
      <c r="M4" s="1020"/>
      <c r="N4" s="1020"/>
      <c r="O4" s="1020"/>
      <c r="P4" s="1020"/>
      <c r="Q4" s="1020"/>
      <c r="R4" s="1020"/>
      <c r="S4" s="1020"/>
      <c r="T4" s="1006" t="s">
        <v>241</v>
      </c>
      <c r="U4" s="1008" t="s">
        <v>8</v>
      </c>
      <c r="V4" s="1006" t="s">
        <v>9</v>
      </c>
      <c r="W4" s="1006" t="s">
        <v>10</v>
      </c>
      <c r="X4" s="1018" t="s">
        <v>11</v>
      </c>
      <c r="Y4" s="1018"/>
      <c r="Z4" s="1018"/>
      <c r="AA4" s="1018"/>
      <c r="AB4" s="1018"/>
      <c r="AC4" s="1008" t="s">
        <v>1421</v>
      </c>
      <c r="AD4" s="1002" t="s">
        <v>243</v>
      </c>
      <c r="AE4" s="722" t="s">
        <v>820</v>
      </c>
      <c r="AF4" s="1004" t="s">
        <v>15</v>
      </c>
    </row>
    <row r="5" spans="1:36" ht="39.75" customHeight="1" thickBot="1" x14ac:dyDescent="0.25">
      <c r="A5" s="1013"/>
      <c r="B5" s="1007"/>
      <c r="C5" s="1007"/>
      <c r="D5" s="1007"/>
      <c r="E5" s="1007"/>
      <c r="F5" s="1007"/>
      <c r="G5" s="723" t="s">
        <v>822</v>
      </c>
      <c r="H5" s="723" t="s">
        <v>823</v>
      </c>
      <c r="I5" s="723" t="s">
        <v>824</v>
      </c>
      <c r="J5" s="723" t="s">
        <v>825</v>
      </c>
      <c r="K5" s="723" t="s">
        <v>826</v>
      </c>
      <c r="L5" s="723" t="s">
        <v>827</v>
      </c>
      <c r="M5" s="723" t="s">
        <v>828</v>
      </c>
      <c r="N5" s="723" t="s">
        <v>829</v>
      </c>
      <c r="O5" s="723" t="s">
        <v>830</v>
      </c>
      <c r="P5" s="723" t="s">
        <v>831</v>
      </c>
      <c r="Q5" s="723" t="s">
        <v>832</v>
      </c>
      <c r="R5" s="723" t="s">
        <v>833</v>
      </c>
      <c r="S5" s="723" t="s">
        <v>2390</v>
      </c>
      <c r="T5" s="1007"/>
      <c r="U5" s="1009"/>
      <c r="V5" s="1007"/>
      <c r="W5" s="1007"/>
      <c r="X5" s="724" t="s">
        <v>16</v>
      </c>
      <c r="Y5" s="724" t="s">
        <v>17</v>
      </c>
      <c r="Z5" s="724" t="s">
        <v>18</v>
      </c>
      <c r="AA5" s="724" t="s">
        <v>19</v>
      </c>
      <c r="AB5" s="724" t="s">
        <v>20</v>
      </c>
      <c r="AC5" s="1009"/>
      <c r="AD5" s="1003"/>
      <c r="AE5" s="725" t="s">
        <v>244</v>
      </c>
      <c r="AF5" s="1005"/>
    </row>
    <row r="6" spans="1:36" s="769" customFormat="1" ht="25.5" x14ac:dyDescent="0.2">
      <c r="A6" s="756" t="s">
        <v>2075</v>
      </c>
      <c r="B6" s="757"/>
      <c r="C6" s="757"/>
      <c r="D6" s="758" t="s">
        <v>1291</v>
      </c>
      <c r="E6" s="758" t="s">
        <v>2136</v>
      </c>
      <c r="F6" s="759">
        <f>108515.69+40547.07</f>
        <v>149062.76</v>
      </c>
      <c r="G6" s="729">
        <v>13020.3</v>
      </c>
      <c r="H6" s="729">
        <v>13020.3</v>
      </c>
      <c r="I6" s="729">
        <v>13020.3</v>
      </c>
      <c r="J6" s="729">
        <v>13515.69</v>
      </c>
      <c r="K6" s="729">
        <v>13515.69</v>
      </c>
      <c r="L6" s="729">
        <v>13515.69</v>
      </c>
      <c r="M6" s="729">
        <v>13515.69</v>
      </c>
      <c r="N6" s="729">
        <v>13515.69</v>
      </c>
      <c r="O6" s="729">
        <v>13515.69</v>
      </c>
      <c r="P6" s="729">
        <v>13515.69</v>
      </c>
      <c r="Q6" s="729">
        <v>13515.69</v>
      </c>
      <c r="R6" s="729">
        <v>13515.69</v>
      </c>
      <c r="S6" s="760">
        <f>SUM(G6:R6)</f>
        <v>160702.11000000002</v>
      </c>
      <c r="T6" s="761">
        <f ca="1">U6-$AE$3</f>
        <v>-947</v>
      </c>
      <c r="U6" s="762">
        <v>43435</v>
      </c>
      <c r="V6" s="763" t="s">
        <v>2463</v>
      </c>
      <c r="W6" s="764" t="s">
        <v>1301</v>
      </c>
      <c r="X6" s="765"/>
      <c r="Y6" s="765"/>
      <c r="Z6" s="765"/>
      <c r="AA6" s="765"/>
      <c r="AB6" s="765"/>
      <c r="AC6" s="766"/>
      <c r="AD6" s="767">
        <v>41519</v>
      </c>
      <c r="AE6" s="768">
        <f ca="1">TODAY()-DATE(YEAR(AD6)+6,MONTH(AD6),DAY(AD6))</f>
        <v>672</v>
      </c>
      <c r="AF6" s="757" t="s">
        <v>48</v>
      </c>
    </row>
    <row r="7" spans="1:36" s="738" customFormat="1" ht="25.5" x14ac:dyDescent="0.2">
      <c r="A7" s="746" t="s">
        <v>955</v>
      </c>
      <c r="B7" s="649" t="s">
        <v>773</v>
      </c>
      <c r="C7" s="649" t="s">
        <v>772</v>
      </c>
      <c r="D7" s="743" t="s">
        <v>1267</v>
      </c>
      <c r="E7" s="743" t="s">
        <v>1494</v>
      </c>
      <c r="F7" s="728">
        <v>209450.53</v>
      </c>
      <c r="G7" s="729">
        <v>5850.89</v>
      </c>
      <c r="H7" s="729">
        <v>6262.31</v>
      </c>
      <c r="I7" s="729">
        <v>5744.19</v>
      </c>
      <c r="J7" s="729">
        <v>6326.08</v>
      </c>
      <c r="K7" s="729">
        <v>6208.02</v>
      </c>
      <c r="L7" s="729">
        <v>5950.12</v>
      </c>
      <c r="M7" s="729">
        <v>5405.49</v>
      </c>
      <c r="N7" s="729">
        <v>5586.73</v>
      </c>
      <c r="O7" s="729">
        <v>6429.66</v>
      </c>
      <c r="P7" s="729">
        <v>0</v>
      </c>
      <c r="Q7" s="729">
        <v>6303.05</v>
      </c>
      <c r="R7" s="729">
        <v>5153.63</v>
      </c>
      <c r="S7" s="730">
        <f t="shared" ref="S7:S44" si="0">SUM(G7:R7)</f>
        <v>65220.170000000006</v>
      </c>
      <c r="T7" s="731">
        <f ca="1">U7-$AE$3</f>
        <v>-1239</v>
      </c>
      <c r="U7" s="732">
        <v>43143</v>
      </c>
      <c r="V7" s="739" t="s">
        <v>1998</v>
      </c>
      <c r="W7" s="734" t="s">
        <v>1087</v>
      </c>
      <c r="X7" s="735"/>
      <c r="Y7" s="735"/>
      <c r="Z7" s="735"/>
      <c r="AA7" s="735"/>
      <c r="AB7" s="735"/>
      <c r="AC7" s="740">
        <v>43045</v>
      </c>
      <c r="AD7" s="736">
        <v>40952</v>
      </c>
      <c r="AE7" s="737">
        <f ca="1">TODAY()-DATE(YEAR(AD7)+6,MONTH(AD7),DAY(AD7))</f>
        <v>1238</v>
      </c>
      <c r="AF7" s="649" t="s">
        <v>48</v>
      </c>
    </row>
    <row r="8" spans="1:36" s="738" customFormat="1" ht="51" x14ac:dyDescent="0.2">
      <c r="A8" s="741" t="s">
        <v>960</v>
      </c>
      <c r="B8" s="649" t="s">
        <v>1330</v>
      </c>
      <c r="C8" s="649" t="s">
        <v>24</v>
      </c>
      <c r="D8" s="727" t="s">
        <v>961</v>
      </c>
      <c r="E8" s="727" t="s">
        <v>962</v>
      </c>
      <c r="F8" s="728">
        <v>179731.20000000001</v>
      </c>
      <c r="G8" s="729">
        <v>16518</v>
      </c>
      <c r="H8" s="729">
        <v>0</v>
      </c>
      <c r="I8" s="729">
        <v>0</v>
      </c>
      <c r="J8" s="729">
        <v>0</v>
      </c>
      <c r="K8" s="729">
        <v>0</v>
      </c>
      <c r="L8" s="729">
        <v>0</v>
      </c>
      <c r="M8" s="729">
        <v>0</v>
      </c>
      <c r="N8" s="729">
        <v>0</v>
      </c>
      <c r="O8" s="729">
        <v>0</v>
      </c>
      <c r="P8" s="729">
        <v>0</v>
      </c>
      <c r="Q8" s="729">
        <v>0</v>
      </c>
      <c r="R8" s="729">
        <v>0</v>
      </c>
      <c r="S8" s="730">
        <f t="shared" si="0"/>
        <v>16518</v>
      </c>
      <c r="T8" s="731">
        <f ca="1">U8-$AE$3</f>
        <v>-1228</v>
      </c>
      <c r="U8" s="732">
        <v>43154</v>
      </c>
      <c r="V8" s="770" t="s">
        <v>1991</v>
      </c>
      <c r="W8" s="771" t="s">
        <v>2086</v>
      </c>
      <c r="X8" s="735"/>
      <c r="Y8" s="735"/>
      <c r="Z8" s="735"/>
      <c r="AA8" s="735"/>
      <c r="AB8" s="735"/>
      <c r="AC8" s="772">
        <v>43048</v>
      </c>
      <c r="AD8" s="736">
        <v>40963</v>
      </c>
      <c r="AE8" s="737">
        <f ca="1">TODAY()-DATE(YEAR(AD8)+6,MONTH(AD8),DAY(AD8))</f>
        <v>1227</v>
      </c>
      <c r="AF8" s="649" t="s">
        <v>96</v>
      </c>
    </row>
    <row r="9" spans="1:36" s="769" customFormat="1" ht="38.25" x14ac:dyDescent="0.2">
      <c r="A9" s="773" t="s">
        <v>23</v>
      </c>
      <c r="B9" s="774" t="s">
        <v>23</v>
      </c>
      <c r="C9" s="773" t="s">
        <v>24</v>
      </c>
      <c r="D9" s="775" t="s">
        <v>303</v>
      </c>
      <c r="E9" s="775" t="s">
        <v>971</v>
      </c>
      <c r="F9" s="776" t="s">
        <v>972</v>
      </c>
      <c r="G9" s="729">
        <v>0</v>
      </c>
      <c r="H9" s="729">
        <v>0</v>
      </c>
      <c r="I9" s="729">
        <v>0</v>
      </c>
      <c r="J9" s="729">
        <v>0</v>
      </c>
      <c r="K9" s="729">
        <v>0</v>
      </c>
      <c r="L9" s="729">
        <v>0</v>
      </c>
      <c r="M9" s="729">
        <v>0</v>
      </c>
      <c r="N9" s="729">
        <v>0</v>
      </c>
      <c r="O9" s="729">
        <v>0</v>
      </c>
      <c r="P9" s="729">
        <v>0</v>
      </c>
      <c r="Q9" s="729">
        <v>0</v>
      </c>
      <c r="R9" s="729">
        <v>0</v>
      </c>
      <c r="S9" s="840">
        <f t="shared" si="0"/>
        <v>0</v>
      </c>
      <c r="T9" s="789"/>
      <c r="U9" s="777" t="s">
        <v>233</v>
      </c>
      <c r="V9" s="778" t="s">
        <v>970</v>
      </c>
      <c r="W9" s="779" t="s">
        <v>727</v>
      </c>
      <c r="X9" s="780"/>
      <c r="Y9" s="780"/>
      <c r="Z9" s="780"/>
      <c r="AA9" s="780"/>
      <c r="AB9" s="780"/>
      <c r="AC9" s="781"/>
      <c r="AD9" s="782">
        <v>41954</v>
      </c>
      <c r="AE9" s="783">
        <f ca="1">TODAY()-DATE(YEAR(AD9)+6,MONTH(AD9),DAY(AD9))</f>
        <v>236</v>
      </c>
      <c r="AF9" s="773" t="s">
        <v>1788</v>
      </c>
      <c r="AG9" s="738"/>
      <c r="AH9" s="738"/>
      <c r="AI9" s="738"/>
      <c r="AJ9" s="738"/>
    </row>
    <row r="10" spans="1:36" s="738" customFormat="1" ht="30" customHeight="1" x14ac:dyDescent="0.2">
      <c r="A10" s="726" t="s">
        <v>1065</v>
      </c>
      <c r="B10" s="649" t="s">
        <v>23</v>
      </c>
      <c r="C10" s="649" t="s">
        <v>56</v>
      </c>
      <c r="D10" s="727" t="s">
        <v>1066</v>
      </c>
      <c r="E10" s="727" t="s">
        <v>1067</v>
      </c>
      <c r="F10" s="728" t="s">
        <v>1074</v>
      </c>
      <c r="G10" s="729">
        <v>0</v>
      </c>
      <c r="H10" s="729">
        <v>0</v>
      </c>
      <c r="I10" s="729">
        <v>0</v>
      </c>
      <c r="J10" s="729">
        <v>0</v>
      </c>
      <c r="K10" s="729">
        <v>0</v>
      </c>
      <c r="L10" s="729">
        <v>0</v>
      </c>
      <c r="M10" s="729">
        <v>0</v>
      </c>
      <c r="N10" s="729">
        <v>0</v>
      </c>
      <c r="O10" s="729">
        <v>0</v>
      </c>
      <c r="P10" s="729">
        <v>0</v>
      </c>
      <c r="Q10" s="729">
        <v>0</v>
      </c>
      <c r="R10" s="729">
        <v>0</v>
      </c>
      <c r="S10" s="730">
        <f t="shared" si="0"/>
        <v>0</v>
      </c>
      <c r="T10" s="788"/>
      <c r="U10" s="732" t="s">
        <v>233</v>
      </c>
      <c r="V10" s="739" t="s">
        <v>1068</v>
      </c>
      <c r="W10" s="734" t="s">
        <v>1088</v>
      </c>
      <c r="X10" s="735"/>
      <c r="Y10" s="735"/>
      <c r="Z10" s="735"/>
      <c r="AA10" s="735"/>
      <c r="AB10" s="735"/>
      <c r="AC10" s="740"/>
      <c r="AD10" s="736">
        <v>40998</v>
      </c>
      <c r="AE10" s="737">
        <f ca="1">TODAY()-DATE(YEAR(AD10)+5,MONTH(AD10),DAY(AD10))</f>
        <v>1558</v>
      </c>
      <c r="AF10" s="649" t="s">
        <v>41</v>
      </c>
    </row>
    <row r="11" spans="1:36" s="738" customFormat="1" ht="38.25" x14ac:dyDescent="0.2">
      <c r="A11" s="741" t="s">
        <v>23</v>
      </c>
      <c r="B11" s="742" t="s">
        <v>23</v>
      </c>
      <c r="C11" s="649" t="s">
        <v>372</v>
      </c>
      <c r="D11" s="743" t="s">
        <v>1022</v>
      </c>
      <c r="E11" s="727" t="s">
        <v>968</v>
      </c>
      <c r="F11" s="728" t="s">
        <v>972</v>
      </c>
      <c r="G11" s="729">
        <v>0</v>
      </c>
      <c r="H11" s="729">
        <v>0</v>
      </c>
      <c r="I11" s="729">
        <v>0</v>
      </c>
      <c r="J11" s="729">
        <v>0</v>
      </c>
      <c r="K11" s="729">
        <v>0</v>
      </c>
      <c r="L11" s="729">
        <v>0</v>
      </c>
      <c r="M11" s="729">
        <v>0</v>
      </c>
      <c r="N11" s="729">
        <v>0</v>
      </c>
      <c r="O11" s="839" t="s">
        <v>2461</v>
      </c>
      <c r="P11" s="729">
        <v>0</v>
      </c>
      <c r="Q11" s="729">
        <v>0</v>
      </c>
      <c r="R11" s="729">
        <v>0</v>
      </c>
      <c r="S11" s="730">
        <f t="shared" si="0"/>
        <v>0</v>
      </c>
      <c r="T11" s="788"/>
      <c r="U11" s="732" t="s">
        <v>233</v>
      </c>
      <c r="V11" s="739" t="s">
        <v>969</v>
      </c>
      <c r="W11" s="744" t="s">
        <v>1014</v>
      </c>
      <c r="X11" s="735"/>
      <c r="Y11" s="735"/>
      <c r="Z11" s="735"/>
      <c r="AA11" s="735"/>
      <c r="AB11" s="735"/>
      <c r="AC11" s="740"/>
      <c r="AD11" s="736">
        <v>36819</v>
      </c>
      <c r="AE11" s="737">
        <f ca="1">TODAY()-DATE(YEAR(AD11)+5,MONTH(AD11),DAY(AD11))</f>
        <v>5737</v>
      </c>
      <c r="AF11" s="741" t="s">
        <v>54</v>
      </c>
    </row>
    <row r="12" spans="1:36" s="748" customFormat="1" ht="38.25" x14ac:dyDescent="0.2">
      <c r="A12" s="649" t="s">
        <v>1126</v>
      </c>
      <c r="B12" s="649" t="s">
        <v>1353</v>
      </c>
      <c r="C12" s="649" t="s">
        <v>56</v>
      </c>
      <c r="D12" s="743" t="s">
        <v>1127</v>
      </c>
      <c r="E12" s="743" t="s">
        <v>1881</v>
      </c>
      <c r="F12" s="728" t="s">
        <v>1888</v>
      </c>
      <c r="G12" s="729">
        <v>536.63</v>
      </c>
      <c r="H12" s="729">
        <v>648.29</v>
      </c>
      <c r="I12" s="729">
        <v>573.85</v>
      </c>
      <c r="J12" s="729">
        <v>611.07000000000005</v>
      </c>
      <c r="K12" s="729">
        <v>560.45000000000005</v>
      </c>
      <c r="L12" s="729">
        <v>746.55</v>
      </c>
      <c r="M12" s="729">
        <v>0</v>
      </c>
      <c r="N12" s="729">
        <v>0</v>
      </c>
      <c r="O12" s="729">
        <v>0</v>
      </c>
      <c r="P12" s="729">
        <v>0</v>
      </c>
      <c r="Q12" s="729">
        <v>0</v>
      </c>
      <c r="R12" s="729">
        <v>0</v>
      </c>
      <c r="S12" s="841">
        <f t="shared" si="0"/>
        <v>3676.84</v>
      </c>
      <c r="T12" s="731">
        <f t="shared" ref="T12:T75" ca="1" si="1">U12-$AE$3</f>
        <v>-1109</v>
      </c>
      <c r="U12" s="732">
        <v>43273</v>
      </c>
      <c r="V12" s="739" t="s">
        <v>2028</v>
      </c>
      <c r="W12" s="734" t="s">
        <v>2129</v>
      </c>
      <c r="X12" s="784"/>
      <c r="Y12" s="784"/>
      <c r="Z12" s="784"/>
      <c r="AA12" s="784"/>
      <c r="AB12" s="784"/>
      <c r="AC12" s="740">
        <v>43172</v>
      </c>
      <c r="AD12" s="736">
        <v>41082</v>
      </c>
      <c r="AE12" s="737">
        <f ca="1">TODAY()-DATE(YEAR(AD12)+5,MONTH(AD12),DAY(AD12))</f>
        <v>1474</v>
      </c>
      <c r="AF12" s="649" t="s">
        <v>96</v>
      </c>
    </row>
    <row r="13" spans="1:36" s="745" customFormat="1" ht="51" x14ac:dyDescent="0.2">
      <c r="A13" s="649" t="s">
        <v>1155</v>
      </c>
      <c r="B13" s="649" t="s">
        <v>1154</v>
      </c>
      <c r="C13" s="649" t="s">
        <v>613</v>
      </c>
      <c r="D13" s="743" t="s">
        <v>1050</v>
      </c>
      <c r="E13" s="743" t="s">
        <v>1209</v>
      </c>
      <c r="F13" s="728">
        <v>112623</v>
      </c>
      <c r="G13" s="729">
        <v>0</v>
      </c>
      <c r="H13" s="729">
        <v>10332.35</v>
      </c>
      <c r="I13" s="729">
        <v>9385.25</v>
      </c>
      <c r="J13" s="729">
        <v>9385.25</v>
      </c>
      <c r="K13" s="729">
        <v>9385.25</v>
      </c>
      <c r="L13" s="729">
        <v>9385.25</v>
      </c>
      <c r="M13" s="729">
        <v>0</v>
      </c>
      <c r="N13" s="729">
        <v>9385.25</v>
      </c>
      <c r="O13" s="729">
        <v>0</v>
      </c>
      <c r="P13" s="729">
        <v>0</v>
      </c>
      <c r="Q13" s="729">
        <v>0</v>
      </c>
      <c r="R13" s="729">
        <v>0</v>
      </c>
      <c r="S13" s="730">
        <f t="shared" si="0"/>
        <v>57258.6</v>
      </c>
      <c r="T13" s="731">
        <f t="shared" ca="1" si="1"/>
        <v>-1054</v>
      </c>
      <c r="U13" s="732">
        <v>43328</v>
      </c>
      <c r="V13" s="739" t="s">
        <v>2280</v>
      </c>
      <c r="W13" s="734" t="s">
        <v>731</v>
      </c>
      <c r="X13" s="735"/>
      <c r="Y13" s="735"/>
      <c r="Z13" s="735"/>
      <c r="AA13" s="735"/>
      <c r="AB13" s="735"/>
      <c r="AC13" s="740">
        <v>43276</v>
      </c>
      <c r="AD13" s="736">
        <v>41138</v>
      </c>
      <c r="AE13" s="737">
        <f ca="1">TODAY()-DATE(YEAR(AD13)+6,MONTH(AD13),DAY(AD13))</f>
        <v>1053</v>
      </c>
      <c r="AF13" s="649" t="s">
        <v>169</v>
      </c>
    </row>
    <row r="14" spans="1:36" s="745" customFormat="1" ht="24.75" customHeight="1" x14ac:dyDescent="0.2">
      <c r="A14" s="649" t="s">
        <v>215</v>
      </c>
      <c r="B14" s="649" t="s">
        <v>23</v>
      </c>
      <c r="C14" s="649" t="s">
        <v>24</v>
      </c>
      <c r="D14" s="743" t="s">
        <v>216</v>
      </c>
      <c r="E14" s="743" t="s">
        <v>1389</v>
      </c>
      <c r="F14" s="728" t="s">
        <v>375</v>
      </c>
      <c r="G14" s="729">
        <v>333.52</v>
      </c>
      <c r="H14" s="729">
        <v>0</v>
      </c>
      <c r="I14" s="729">
        <f>295.57+284.46</f>
        <v>580.03</v>
      </c>
      <c r="J14" s="729">
        <v>0</v>
      </c>
      <c r="K14" s="729">
        <f>611.6+636.13</f>
        <v>1247.73</v>
      </c>
      <c r="L14" s="729">
        <v>804.32</v>
      </c>
      <c r="M14" s="729">
        <v>772.2</v>
      </c>
      <c r="N14" s="729">
        <v>826.1</v>
      </c>
      <c r="O14" s="729">
        <v>991.1</v>
      </c>
      <c r="P14" s="729">
        <v>875.6</v>
      </c>
      <c r="Q14" s="729">
        <v>57</v>
      </c>
      <c r="R14" s="729">
        <f>56.87+1171.83</f>
        <v>1228.6999999999998</v>
      </c>
      <c r="S14" s="730">
        <f t="shared" si="0"/>
        <v>7716.3000000000011</v>
      </c>
      <c r="T14" s="731">
        <f t="shared" ca="1" si="1"/>
        <v>512</v>
      </c>
      <c r="U14" s="732">
        <v>44894</v>
      </c>
      <c r="V14" s="733" t="s">
        <v>2392</v>
      </c>
      <c r="W14" s="734" t="s">
        <v>757</v>
      </c>
      <c r="X14" s="735"/>
      <c r="Y14" s="735"/>
      <c r="Z14" s="735"/>
      <c r="AA14" s="735"/>
      <c r="AB14" s="735"/>
      <c r="AC14" s="740"/>
      <c r="AD14" s="736">
        <v>41204</v>
      </c>
      <c r="AE14" s="737">
        <f ca="1">TODAY()-DATE(YEAR(AD14)+6,MONTH(AD14),DAY(AD14))</f>
        <v>987</v>
      </c>
      <c r="AF14" s="649" t="s">
        <v>169</v>
      </c>
    </row>
    <row r="15" spans="1:36" s="738" customFormat="1" ht="38.25" x14ac:dyDescent="0.2">
      <c r="A15" s="746" t="s">
        <v>1158</v>
      </c>
      <c r="B15" s="649" t="s">
        <v>590</v>
      </c>
      <c r="C15" s="649"/>
      <c r="D15" s="743" t="s">
        <v>1423</v>
      </c>
      <c r="E15" s="743" t="s">
        <v>1160</v>
      </c>
      <c r="F15" s="728">
        <v>13598.16</v>
      </c>
      <c r="G15" s="729">
        <v>124.87</v>
      </c>
      <c r="H15" s="729">
        <f>2048.02+12.3+1614.02</f>
        <v>3674.34</v>
      </c>
      <c r="I15" s="729">
        <f>124.87+247.84+157.2+563.58+626.86+73.8+12.3+2194.84</f>
        <v>4001.2900000000004</v>
      </c>
      <c r="J15" s="729">
        <f>86.1+315.33+2794.5</f>
        <v>3195.93</v>
      </c>
      <c r="K15" s="729">
        <f>45.8+126.93+39.59+53+25.62+2486.9</f>
        <v>2777.84</v>
      </c>
      <c r="L15" s="729">
        <f>13.29+12.3+1.34+13.87+13.19+15.73+2082.74</f>
        <v>2152.4599999999996</v>
      </c>
      <c r="M15" s="729">
        <f>12.47+12.47+12.71+1996.35</f>
        <v>2034</v>
      </c>
      <c r="N15" s="729">
        <f>12.85+12.71+12.71+2118.65</f>
        <v>2156.92</v>
      </c>
      <c r="O15" s="729">
        <f>12.71+12.71+16.91+12.71</f>
        <v>55.04</v>
      </c>
      <c r="P15" s="729">
        <f>12+71+2639.49+12.71+3252.65+12.71</f>
        <v>6000.56</v>
      </c>
      <c r="Q15" s="729">
        <f>12.71+2623.57</f>
        <v>2636.28</v>
      </c>
      <c r="R15" s="729">
        <f>38.13+25.42+3071.13</f>
        <v>3134.6800000000003</v>
      </c>
      <c r="S15" s="730">
        <f t="shared" si="0"/>
        <v>31944.210000000003</v>
      </c>
      <c r="T15" s="731">
        <f t="shared" ca="1" si="1"/>
        <v>-1005</v>
      </c>
      <c r="U15" s="732">
        <v>43377</v>
      </c>
      <c r="V15" s="739" t="s">
        <v>2085</v>
      </c>
      <c r="W15" s="734" t="s">
        <v>1394</v>
      </c>
      <c r="X15" s="735"/>
      <c r="Y15" s="735"/>
      <c r="Z15" s="735"/>
      <c r="AA15" s="735"/>
      <c r="AB15" s="735"/>
      <c r="AC15" s="740">
        <v>43262</v>
      </c>
      <c r="AD15" s="736">
        <v>41186</v>
      </c>
      <c r="AE15" s="737">
        <f t="shared" ref="AE15:AE57" ca="1" si="2">TODAY()-DATE(YEAR(AD15)+6,MONTH(AD15),DAY(AD15))</f>
        <v>1005</v>
      </c>
      <c r="AF15" s="649" t="s">
        <v>48</v>
      </c>
    </row>
    <row r="16" spans="1:36" s="748" customFormat="1" ht="63.75" x14ac:dyDescent="0.2">
      <c r="A16" s="649" t="s">
        <v>1201</v>
      </c>
      <c r="B16" s="747" t="s">
        <v>1321</v>
      </c>
      <c r="C16" s="649" t="s">
        <v>617</v>
      </c>
      <c r="D16" s="743" t="s">
        <v>1202</v>
      </c>
      <c r="E16" s="743" t="s">
        <v>2043</v>
      </c>
      <c r="F16" s="728">
        <v>3711.84</v>
      </c>
      <c r="G16" s="729">
        <v>618.64</v>
      </c>
      <c r="H16" s="729">
        <v>618.64</v>
      </c>
      <c r="I16" s="729">
        <v>0</v>
      </c>
      <c r="J16" s="729">
        <v>0</v>
      </c>
      <c r="K16" s="729">
        <v>0</v>
      </c>
      <c r="L16" s="729">
        <v>0</v>
      </c>
      <c r="M16" s="729">
        <v>0</v>
      </c>
      <c r="N16" s="729">
        <v>0</v>
      </c>
      <c r="O16" s="729">
        <v>0</v>
      </c>
      <c r="P16" s="729">
        <v>0</v>
      </c>
      <c r="Q16" s="729">
        <v>0</v>
      </c>
      <c r="R16" s="729">
        <v>0</v>
      </c>
      <c r="S16" s="730">
        <f t="shared" si="0"/>
        <v>1237.28</v>
      </c>
      <c r="T16" s="731">
        <f t="shared" ca="1" si="1"/>
        <v>-1255</v>
      </c>
      <c r="U16" s="732">
        <v>43127</v>
      </c>
      <c r="V16" s="739" t="s">
        <v>2044</v>
      </c>
      <c r="W16" s="734"/>
      <c r="X16" s="735"/>
      <c r="Y16" s="735"/>
      <c r="Z16" s="735"/>
      <c r="AA16" s="735"/>
      <c r="AB16" s="735"/>
      <c r="AC16" s="740">
        <v>43045</v>
      </c>
      <c r="AD16" s="736">
        <v>41302</v>
      </c>
      <c r="AE16" s="737">
        <f t="shared" ca="1" si="2"/>
        <v>889</v>
      </c>
      <c r="AF16" s="649" t="s">
        <v>96</v>
      </c>
    </row>
    <row r="17" spans="1:32" s="800" customFormat="1" ht="25.5" x14ac:dyDescent="0.2">
      <c r="A17" s="746" t="s">
        <v>1391</v>
      </c>
      <c r="B17" s="649"/>
      <c r="C17" s="649"/>
      <c r="D17" s="743" t="s">
        <v>1228</v>
      </c>
      <c r="E17" s="743" t="s">
        <v>1229</v>
      </c>
      <c r="F17" s="728">
        <v>4788</v>
      </c>
      <c r="G17" s="729">
        <v>0</v>
      </c>
      <c r="H17" s="729">
        <v>399</v>
      </c>
      <c r="I17" s="729">
        <v>458.9</v>
      </c>
      <c r="J17" s="729">
        <v>399</v>
      </c>
      <c r="K17" s="729">
        <v>399</v>
      </c>
      <c r="L17" s="729">
        <v>0</v>
      </c>
      <c r="M17" s="729">
        <f>399+399</f>
        <v>798</v>
      </c>
      <c r="N17" s="729">
        <v>421.74</v>
      </c>
      <c r="O17" s="729">
        <v>0</v>
      </c>
      <c r="P17" s="729">
        <v>0</v>
      </c>
      <c r="Q17" s="729">
        <v>0</v>
      </c>
      <c r="R17" s="729">
        <v>0</v>
      </c>
      <c r="S17" s="730">
        <f t="shared" si="0"/>
        <v>2875.6400000000003</v>
      </c>
      <c r="T17" s="792">
        <f t="shared" ca="1" si="1"/>
        <v>-2690</v>
      </c>
      <c r="U17" s="793">
        <v>41692</v>
      </c>
      <c r="V17" s="794" t="s">
        <v>1230</v>
      </c>
      <c r="W17" s="795"/>
      <c r="X17" s="796"/>
      <c r="Y17" s="796"/>
      <c r="Z17" s="796"/>
      <c r="AA17" s="796"/>
      <c r="AB17" s="796"/>
      <c r="AC17" s="797">
        <v>41667</v>
      </c>
      <c r="AD17" s="798">
        <v>41327</v>
      </c>
      <c r="AE17" s="799">
        <f t="shared" ca="1" si="2"/>
        <v>864</v>
      </c>
      <c r="AF17" s="791" t="s">
        <v>41</v>
      </c>
    </row>
    <row r="18" spans="1:32" s="818" customFormat="1" ht="46.5" customHeight="1" x14ac:dyDescent="0.2">
      <c r="A18" s="804" t="s">
        <v>1332</v>
      </c>
      <c r="B18" s="805" t="s">
        <v>1353</v>
      </c>
      <c r="C18" s="805" t="s">
        <v>419</v>
      </c>
      <c r="D18" s="806" t="s">
        <v>194</v>
      </c>
      <c r="E18" s="806" t="s">
        <v>1663</v>
      </c>
      <c r="F18" s="807">
        <v>15600</v>
      </c>
      <c r="G18" s="808">
        <v>1300</v>
      </c>
      <c r="H18" s="808">
        <v>0</v>
      </c>
      <c r="I18" s="808">
        <v>1300</v>
      </c>
      <c r="J18" s="808">
        <f>2585+1300</f>
        <v>3885</v>
      </c>
      <c r="K18" s="808">
        <v>1300</v>
      </c>
      <c r="L18" s="808">
        <v>1300</v>
      </c>
      <c r="M18" s="808">
        <v>1300</v>
      </c>
      <c r="N18" s="808">
        <v>0</v>
      </c>
      <c r="O18" s="808">
        <v>1300</v>
      </c>
      <c r="P18" s="808">
        <v>1300</v>
      </c>
      <c r="Q18" s="808">
        <f>3150+1300</f>
        <v>4450</v>
      </c>
      <c r="R18" s="808">
        <v>1300</v>
      </c>
      <c r="S18" s="809">
        <f t="shared" si="0"/>
        <v>18735</v>
      </c>
      <c r="T18" s="810">
        <f t="shared" ca="1" si="1"/>
        <v>-816</v>
      </c>
      <c r="U18" s="811">
        <v>43566</v>
      </c>
      <c r="V18" s="812" t="s">
        <v>2269</v>
      </c>
      <c r="W18" s="813" t="s">
        <v>734</v>
      </c>
      <c r="X18" s="814"/>
      <c r="Y18" s="814"/>
      <c r="Z18" s="814"/>
      <c r="AA18" s="814"/>
      <c r="AB18" s="814"/>
      <c r="AC18" s="815">
        <v>43451</v>
      </c>
      <c r="AD18" s="816">
        <v>41376</v>
      </c>
      <c r="AE18" s="817">
        <f t="shared" ca="1" si="2"/>
        <v>815</v>
      </c>
      <c r="AF18" s="805" t="s">
        <v>48</v>
      </c>
    </row>
    <row r="19" spans="1:32" s="818" customFormat="1" ht="38.25" x14ac:dyDescent="0.2">
      <c r="A19" s="804" t="s">
        <v>1316</v>
      </c>
      <c r="B19" s="805" t="s">
        <v>1317</v>
      </c>
      <c r="C19" s="805" t="s">
        <v>1290</v>
      </c>
      <c r="D19" s="806" t="s">
        <v>1267</v>
      </c>
      <c r="E19" s="806" t="s">
        <v>1665</v>
      </c>
      <c r="F19" s="807" t="s">
        <v>2134</v>
      </c>
      <c r="G19" s="808">
        <v>4337.3100000000004</v>
      </c>
      <c r="H19" s="808">
        <v>4453.05</v>
      </c>
      <c r="I19" s="808">
        <v>4476.09</v>
      </c>
      <c r="J19" s="808">
        <v>4476.09</v>
      </c>
      <c r="K19" s="808">
        <v>4476.09</v>
      </c>
      <c r="L19" s="808">
        <v>0</v>
      </c>
      <c r="M19" s="808">
        <f>4476.09+4476.09</f>
        <v>8952.18</v>
      </c>
      <c r="N19" s="808">
        <v>0</v>
      </c>
      <c r="O19" s="808">
        <v>0</v>
      </c>
      <c r="P19" s="808">
        <v>4872.63</v>
      </c>
      <c r="Q19" s="808">
        <f>4591+4476.09</f>
        <v>9067.09</v>
      </c>
      <c r="R19" s="808">
        <f>4770.7+4476.09</f>
        <v>9246.7900000000009</v>
      </c>
      <c r="S19" s="809">
        <f t="shared" si="0"/>
        <v>54357.32</v>
      </c>
      <c r="T19" s="810">
        <f t="shared" ca="1" si="1"/>
        <v>-1070</v>
      </c>
      <c r="U19" s="811">
        <v>43312</v>
      </c>
      <c r="V19" s="812" t="s">
        <v>1883</v>
      </c>
      <c r="W19" s="813" t="s">
        <v>1378</v>
      </c>
      <c r="X19" s="814"/>
      <c r="Y19" s="814"/>
      <c r="Z19" s="814"/>
      <c r="AA19" s="814"/>
      <c r="AB19" s="814"/>
      <c r="AC19" s="815">
        <v>43262</v>
      </c>
      <c r="AD19" s="816">
        <v>41486</v>
      </c>
      <c r="AE19" s="817">
        <f t="shared" ca="1" si="2"/>
        <v>705</v>
      </c>
      <c r="AF19" s="805" t="s">
        <v>41</v>
      </c>
    </row>
    <row r="20" spans="1:32" s="820" customFormat="1" ht="38.25" x14ac:dyDescent="0.2">
      <c r="A20" s="805" t="s">
        <v>1753</v>
      </c>
      <c r="B20" s="819" t="s">
        <v>1384</v>
      </c>
      <c r="C20" s="805" t="s">
        <v>772</v>
      </c>
      <c r="D20" s="806" t="s">
        <v>1381</v>
      </c>
      <c r="E20" s="806" t="s">
        <v>1351</v>
      </c>
      <c r="F20" s="807">
        <v>256181.76000000001</v>
      </c>
      <c r="G20" s="808">
        <v>10188.219999999999</v>
      </c>
      <c r="H20" s="808">
        <v>9573.52</v>
      </c>
      <c r="I20" s="808">
        <v>9719.8700000000008</v>
      </c>
      <c r="J20" s="808">
        <v>9884.2000000000007</v>
      </c>
      <c r="K20" s="808">
        <v>12397.72</v>
      </c>
      <c r="L20" s="808">
        <v>12030.06</v>
      </c>
      <c r="M20" s="808">
        <v>12112.87</v>
      </c>
      <c r="N20" s="808">
        <v>12008.28</v>
      </c>
      <c r="O20" s="808">
        <v>13175.17</v>
      </c>
      <c r="P20" s="808">
        <v>13460.58</v>
      </c>
      <c r="Q20" s="808">
        <v>0</v>
      </c>
      <c r="R20" s="808">
        <v>0</v>
      </c>
      <c r="S20" s="809">
        <f>SUM(G20:R20)</f>
        <v>114550.48999999999</v>
      </c>
      <c r="T20" s="810">
        <f t="shared" ca="1" si="1"/>
        <v>-1009</v>
      </c>
      <c r="U20" s="811">
        <v>43373</v>
      </c>
      <c r="V20" s="812" t="s">
        <v>2083</v>
      </c>
      <c r="W20" s="813"/>
      <c r="X20" s="814"/>
      <c r="Y20" s="814"/>
      <c r="Z20" s="814"/>
      <c r="AA20" s="814"/>
      <c r="AB20" s="814"/>
      <c r="AC20" s="815">
        <v>43318</v>
      </c>
      <c r="AD20" s="816">
        <v>41548</v>
      </c>
      <c r="AE20" s="817">
        <f ca="1">TODAY()-DATE(YEAR(AD20)+6,MONTH(AD20),DAY(AD20))</f>
        <v>643</v>
      </c>
      <c r="AF20" s="805" t="s">
        <v>96</v>
      </c>
    </row>
    <row r="21" spans="1:32" s="820" customFormat="1" ht="38.25" x14ac:dyDescent="0.2">
      <c r="A21" s="805" t="s">
        <v>1639</v>
      </c>
      <c r="B21" s="805" t="s">
        <v>1444</v>
      </c>
      <c r="C21" s="805" t="s">
        <v>37</v>
      </c>
      <c r="D21" s="806" t="s">
        <v>2080</v>
      </c>
      <c r="E21" s="806" t="s">
        <v>1446</v>
      </c>
      <c r="F21" s="807">
        <v>40448.400000000001</v>
      </c>
      <c r="G21" s="808">
        <v>3370.7</v>
      </c>
      <c r="H21" s="808">
        <v>3370.7</v>
      </c>
      <c r="I21" s="808">
        <v>3370.7</v>
      </c>
      <c r="J21" s="808">
        <v>3370.7</v>
      </c>
      <c r="K21" s="808">
        <v>3370.7</v>
      </c>
      <c r="L21" s="808">
        <v>3370.7</v>
      </c>
      <c r="M21" s="808">
        <v>3370.7</v>
      </c>
      <c r="N21" s="808">
        <v>3370.7</v>
      </c>
      <c r="O21" s="808">
        <v>3370</v>
      </c>
      <c r="P21" s="808">
        <v>3370</v>
      </c>
      <c r="Q21" s="808">
        <v>3370</v>
      </c>
      <c r="R21" s="808">
        <v>3370</v>
      </c>
      <c r="S21" s="809">
        <f t="shared" si="0"/>
        <v>40445.600000000006</v>
      </c>
      <c r="T21" s="810">
        <f t="shared" ca="1" si="1"/>
        <v>-947</v>
      </c>
      <c r="U21" s="811">
        <v>43435</v>
      </c>
      <c r="V21" s="812" t="s">
        <v>2110</v>
      </c>
      <c r="W21" s="813"/>
      <c r="X21" s="814"/>
      <c r="Y21" s="814"/>
      <c r="Z21" s="814"/>
      <c r="AA21" s="814"/>
      <c r="AB21" s="814"/>
      <c r="AC21" s="815">
        <v>43378</v>
      </c>
      <c r="AD21" s="816">
        <v>41610</v>
      </c>
      <c r="AE21" s="817">
        <f t="shared" ca="1" si="2"/>
        <v>581</v>
      </c>
      <c r="AF21" s="805" t="s">
        <v>96</v>
      </c>
    </row>
    <row r="22" spans="1:32" s="820" customFormat="1" ht="38.25" x14ac:dyDescent="0.2">
      <c r="A22" s="805" t="s">
        <v>1457</v>
      </c>
      <c r="B22" s="805" t="s">
        <v>2031</v>
      </c>
      <c r="C22" s="805" t="s">
        <v>56</v>
      </c>
      <c r="D22" s="806" t="s">
        <v>303</v>
      </c>
      <c r="E22" s="806" t="s">
        <v>2029</v>
      </c>
      <c r="F22" s="807">
        <v>45498.96</v>
      </c>
      <c r="G22" s="808">
        <v>5683.13</v>
      </c>
      <c r="H22" s="808">
        <v>6096.39</v>
      </c>
      <c r="I22" s="808">
        <v>6102.29</v>
      </c>
      <c r="J22" s="808">
        <v>6102.17</v>
      </c>
      <c r="K22" s="808">
        <v>6106.21</v>
      </c>
      <c r="L22" s="808">
        <v>6108.95</v>
      </c>
      <c r="M22" s="808">
        <v>6114.85</v>
      </c>
      <c r="N22" s="808">
        <v>6118.63</v>
      </c>
      <c r="O22" s="808">
        <v>6121.76</v>
      </c>
      <c r="P22" s="808">
        <v>6108.15</v>
      </c>
      <c r="Q22" s="808">
        <v>6095.06</v>
      </c>
      <c r="R22" s="808">
        <v>6085.01</v>
      </c>
      <c r="S22" s="809">
        <f t="shared" si="0"/>
        <v>72842.599999999991</v>
      </c>
      <c r="T22" s="810">
        <f t="shared" ca="1" si="1"/>
        <v>-1105</v>
      </c>
      <c r="U22" s="811">
        <v>43277</v>
      </c>
      <c r="V22" s="812" t="s">
        <v>2030</v>
      </c>
      <c r="W22" s="813"/>
      <c r="X22" s="814"/>
      <c r="Y22" s="814"/>
      <c r="Z22" s="814"/>
      <c r="AA22" s="814"/>
      <c r="AB22" s="814"/>
      <c r="AC22" s="815">
        <v>43222</v>
      </c>
      <c r="AD22" s="816">
        <v>41451</v>
      </c>
      <c r="AE22" s="817">
        <f t="shared" ca="1" si="2"/>
        <v>740</v>
      </c>
      <c r="AF22" s="805" t="s">
        <v>169</v>
      </c>
    </row>
    <row r="23" spans="1:32" s="822" customFormat="1" ht="51" x14ac:dyDescent="0.2">
      <c r="A23" s="821" t="s">
        <v>1703</v>
      </c>
      <c r="B23" s="805" t="s">
        <v>1428</v>
      </c>
      <c r="C23" s="805" t="s">
        <v>56</v>
      </c>
      <c r="D23" s="806" t="s">
        <v>212</v>
      </c>
      <c r="E23" s="806" t="s">
        <v>1514</v>
      </c>
      <c r="F23" s="807">
        <v>9715.92</v>
      </c>
      <c r="G23" s="808">
        <v>809.66</v>
      </c>
      <c r="H23" s="808">
        <v>809.66</v>
      </c>
      <c r="I23" s="808">
        <v>809.66</v>
      </c>
      <c r="J23" s="808">
        <v>809.66</v>
      </c>
      <c r="K23" s="808">
        <v>809.66</v>
      </c>
      <c r="L23" s="808">
        <v>809.66</v>
      </c>
      <c r="M23" s="808">
        <v>809.66</v>
      </c>
      <c r="N23" s="808">
        <v>809.66</v>
      </c>
      <c r="O23" s="808">
        <v>809.66</v>
      </c>
      <c r="P23" s="808">
        <v>809.66</v>
      </c>
      <c r="Q23" s="808">
        <v>809.66</v>
      </c>
      <c r="R23" s="808">
        <v>809.66</v>
      </c>
      <c r="S23" s="809">
        <f t="shared" si="0"/>
        <v>9715.92</v>
      </c>
      <c r="T23" s="810">
        <f t="shared" ca="1" si="1"/>
        <v>-827</v>
      </c>
      <c r="U23" s="811">
        <v>43555</v>
      </c>
      <c r="V23" s="812" t="s">
        <v>2279</v>
      </c>
      <c r="W23" s="813"/>
      <c r="X23" s="814"/>
      <c r="Y23" s="814"/>
      <c r="Z23" s="814"/>
      <c r="AA23" s="814"/>
      <c r="AB23" s="814"/>
      <c r="AC23" s="815">
        <v>43495</v>
      </c>
      <c r="AD23" s="816">
        <v>41729</v>
      </c>
      <c r="AE23" s="817">
        <f t="shared" ca="1" si="2"/>
        <v>461</v>
      </c>
      <c r="AF23" s="805" t="s">
        <v>48</v>
      </c>
    </row>
    <row r="24" spans="1:32" s="818" customFormat="1" ht="76.5" x14ac:dyDescent="0.2">
      <c r="A24" s="804" t="s">
        <v>1704</v>
      </c>
      <c r="B24" s="805"/>
      <c r="C24" s="805" t="s">
        <v>2406</v>
      </c>
      <c r="D24" s="806" t="s">
        <v>1661</v>
      </c>
      <c r="E24" s="806" t="s">
        <v>1516</v>
      </c>
      <c r="F24" s="807">
        <v>121050</v>
      </c>
      <c r="G24" s="808">
        <v>0</v>
      </c>
      <c r="H24" s="808">
        <f>2929.41+1433.39</f>
        <v>4362.8</v>
      </c>
      <c r="I24" s="808">
        <v>0</v>
      </c>
      <c r="J24" s="808">
        <v>810.26</v>
      </c>
      <c r="K24" s="808">
        <v>0</v>
      </c>
      <c r="L24" s="808">
        <v>0</v>
      </c>
      <c r="M24" s="808">
        <v>0</v>
      </c>
      <c r="N24" s="808">
        <v>0</v>
      </c>
      <c r="O24" s="808">
        <v>2642.05</v>
      </c>
      <c r="P24" s="808">
        <f>4228.46+6913.14+2129.4</f>
        <v>13271</v>
      </c>
      <c r="Q24" s="808">
        <f>683.13+1546.42+817.14+1020.15+1083.352+1616.04</f>
        <v>6766.232</v>
      </c>
      <c r="R24" s="808">
        <v>345.48</v>
      </c>
      <c r="S24" s="809">
        <f t="shared" si="0"/>
        <v>28197.822</v>
      </c>
      <c r="T24" s="810">
        <f t="shared" ca="1" si="1"/>
        <v>-831</v>
      </c>
      <c r="U24" s="811">
        <v>43551</v>
      </c>
      <c r="V24" s="812" t="s">
        <v>2137</v>
      </c>
      <c r="W24" s="813"/>
      <c r="X24" s="814"/>
      <c r="Y24" s="814"/>
      <c r="Z24" s="814"/>
      <c r="AA24" s="814"/>
      <c r="AB24" s="814"/>
      <c r="AC24" s="815">
        <v>43495</v>
      </c>
      <c r="AD24" s="816">
        <v>41726</v>
      </c>
      <c r="AE24" s="817">
        <f t="shared" ca="1" si="2"/>
        <v>464</v>
      </c>
      <c r="AF24" s="805" t="s">
        <v>48</v>
      </c>
    </row>
    <row r="25" spans="1:32" s="822" customFormat="1" ht="38.25" customHeight="1" x14ac:dyDescent="0.2">
      <c r="A25" s="821" t="s">
        <v>1546</v>
      </c>
      <c r="B25" s="805" t="s">
        <v>1522</v>
      </c>
      <c r="C25" s="805" t="s">
        <v>2407</v>
      </c>
      <c r="D25" s="806" t="s">
        <v>1523</v>
      </c>
      <c r="E25" s="806" t="s">
        <v>1524</v>
      </c>
      <c r="F25" s="823">
        <v>0</v>
      </c>
      <c r="G25" s="808">
        <v>0</v>
      </c>
      <c r="H25" s="808">
        <v>0</v>
      </c>
      <c r="I25" s="808">
        <v>0</v>
      </c>
      <c r="J25" s="808">
        <v>0</v>
      </c>
      <c r="K25" s="808">
        <v>0</v>
      </c>
      <c r="L25" s="808">
        <v>0</v>
      </c>
      <c r="M25" s="808">
        <v>0</v>
      </c>
      <c r="N25" s="808">
        <v>0</v>
      </c>
      <c r="O25" s="808">
        <v>0</v>
      </c>
      <c r="P25" s="808">
        <v>0</v>
      </c>
      <c r="Q25" s="808">
        <v>0</v>
      </c>
      <c r="R25" s="808">
        <v>0</v>
      </c>
      <c r="S25" s="809">
        <f t="shared" si="0"/>
        <v>0</v>
      </c>
      <c r="T25" s="810">
        <f t="shared" ca="1" si="1"/>
        <v>-813</v>
      </c>
      <c r="U25" s="811">
        <v>43569</v>
      </c>
      <c r="V25" s="812" t="s">
        <v>2270</v>
      </c>
      <c r="W25" s="813"/>
      <c r="X25" s="814"/>
      <c r="Y25" s="814"/>
      <c r="Z25" s="814"/>
      <c r="AA25" s="814"/>
      <c r="AB25" s="814"/>
      <c r="AC25" s="815">
        <v>43509</v>
      </c>
      <c r="AD25" s="816">
        <v>41743</v>
      </c>
      <c r="AE25" s="817">
        <f t="shared" ca="1" si="2"/>
        <v>447</v>
      </c>
      <c r="AF25" s="805" t="s">
        <v>649</v>
      </c>
    </row>
    <row r="26" spans="1:32" s="818" customFormat="1" ht="51" x14ac:dyDescent="0.2">
      <c r="A26" s="804" t="s">
        <v>1552</v>
      </c>
      <c r="B26" s="805" t="s">
        <v>2037</v>
      </c>
      <c r="C26" s="805" t="s">
        <v>56</v>
      </c>
      <c r="D26" s="806" t="s">
        <v>62</v>
      </c>
      <c r="E26" s="806" t="s">
        <v>1553</v>
      </c>
      <c r="F26" s="807">
        <v>10761</v>
      </c>
      <c r="G26" s="808">
        <v>881.83</v>
      </c>
      <c r="H26" s="824">
        <v>881.83</v>
      </c>
      <c r="I26" s="824">
        <v>881.83</v>
      </c>
      <c r="J26" s="824">
        <v>881.83</v>
      </c>
      <c r="K26" s="824">
        <v>881.83</v>
      </c>
      <c r="L26" s="824">
        <v>881.83</v>
      </c>
      <c r="M26" s="808">
        <v>0</v>
      </c>
      <c r="N26" s="808">
        <v>0</v>
      </c>
      <c r="O26" s="808">
        <f>896.75+896.75</f>
        <v>1793.5</v>
      </c>
      <c r="P26" s="808">
        <f>896.75</f>
        <v>896.75</v>
      </c>
      <c r="Q26" s="808">
        <f>896.75</f>
        <v>896.75</v>
      </c>
      <c r="R26" s="808">
        <f>896.75</f>
        <v>896.75</v>
      </c>
      <c r="S26" s="809">
        <f t="shared" si="0"/>
        <v>9774.73</v>
      </c>
      <c r="T26" s="810">
        <f t="shared" ca="1" si="1"/>
        <v>-746</v>
      </c>
      <c r="U26" s="811">
        <v>43636</v>
      </c>
      <c r="V26" s="812" t="s">
        <v>2157</v>
      </c>
      <c r="W26" s="813"/>
      <c r="X26" s="814"/>
      <c r="Y26" s="814"/>
      <c r="Z26" s="814"/>
      <c r="AA26" s="814"/>
      <c r="AB26" s="814"/>
      <c r="AC26" s="815"/>
      <c r="AD26" s="816">
        <v>41811</v>
      </c>
      <c r="AE26" s="817">
        <f t="shared" ca="1" si="2"/>
        <v>379</v>
      </c>
      <c r="AF26" s="805" t="s">
        <v>48</v>
      </c>
    </row>
    <row r="27" spans="1:32" s="818" customFormat="1" ht="38.25" x14ac:dyDescent="0.2">
      <c r="A27" s="821" t="s">
        <v>1558</v>
      </c>
      <c r="B27" s="805" t="s">
        <v>1700</v>
      </c>
      <c r="C27" s="805" t="s">
        <v>617</v>
      </c>
      <c r="D27" s="806" t="s">
        <v>618</v>
      </c>
      <c r="E27" s="806" t="s">
        <v>1559</v>
      </c>
      <c r="F27" s="807">
        <v>69983.28</v>
      </c>
      <c r="G27" s="825">
        <v>5567.69</v>
      </c>
      <c r="H27" s="825">
        <v>5766.14</v>
      </c>
      <c r="I27" s="825">
        <v>5784.76</v>
      </c>
      <c r="J27" s="825">
        <v>6610.26</v>
      </c>
      <c r="K27" s="825">
        <v>7099.76</v>
      </c>
      <c r="L27" s="825">
        <v>6348.8</v>
      </c>
      <c r="M27" s="825">
        <v>5896.08</v>
      </c>
      <c r="N27" s="808">
        <v>0</v>
      </c>
      <c r="O27" s="808">
        <v>0</v>
      </c>
      <c r="P27" s="808">
        <f>7335.59+8650.17</f>
        <v>15985.76</v>
      </c>
      <c r="Q27" s="808">
        <v>0</v>
      </c>
      <c r="R27" s="808">
        <v>0</v>
      </c>
      <c r="S27" s="809">
        <f t="shared" si="0"/>
        <v>59059.250000000007</v>
      </c>
      <c r="T27" s="810">
        <f t="shared" ca="1" si="1"/>
        <v>-1102</v>
      </c>
      <c r="U27" s="811">
        <v>43280</v>
      </c>
      <c r="V27" s="812" t="s">
        <v>2046</v>
      </c>
      <c r="W27" s="813"/>
      <c r="X27" s="814"/>
      <c r="Y27" s="814"/>
      <c r="Z27" s="814"/>
      <c r="AA27" s="814"/>
      <c r="AB27" s="814"/>
      <c r="AC27" s="815">
        <v>42852</v>
      </c>
      <c r="AD27" s="816">
        <v>41820</v>
      </c>
      <c r="AE27" s="817">
        <f t="shared" ca="1" si="2"/>
        <v>370</v>
      </c>
      <c r="AF27" s="805" t="s">
        <v>41</v>
      </c>
    </row>
    <row r="28" spans="1:32" s="822" customFormat="1" ht="51" x14ac:dyDescent="0.2">
      <c r="A28" s="821" t="s">
        <v>1581</v>
      </c>
      <c r="B28" s="805"/>
      <c r="C28" s="805" t="s">
        <v>1676</v>
      </c>
      <c r="D28" s="806" t="s">
        <v>586</v>
      </c>
      <c r="E28" s="806" t="s">
        <v>2054</v>
      </c>
      <c r="F28" s="807">
        <v>1564203</v>
      </c>
      <c r="G28" s="824">
        <v>131367.35999999999</v>
      </c>
      <c r="H28" s="824">
        <v>136236.69</v>
      </c>
      <c r="I28" s="824">
        <v>133943.19</v>
      </c>
      <c r="J28" s="824">
        <v>132655.26999999999</v>
      </c>
      <c r="K28" s="824">
        <v>130330.76</v>
      </c>
      <c r="L28" s="824">
        <v>134760.41</v>
      </c>
      <c r="M28" s="824">
        <v>129517.77</v>
      </c>
      <c r="N28" s="824">
        <v>127078</v>
      </c>
      <c r="O28" s="824">
        <v>126215.7</v>
      </c>
      <c r="P28" s="808">
        <f>139259.22+6256.67</f>
        <v>145515.89000000001</v>
      </c>
      <c r="Q28" s="824">
        <v>135838.72</v>
      </c>
      <c r="R28" s="808">
        <f>58411.5+131781.44</f>
        <v>190192.94</v>
      </c>
      <c r="S28" s="809">
        <f t="shared" si="0"/>
        <v>1653652.7</v>
      </c>
      <c r="T28" s="810">
        <f t="shared" ca="1" si="1"/>
        <v>-691</v>
      </c>
      <c r="U28" s="811">
        <v>43691</v>
      </c>
      <c r="V28" s="812" t="s">
        <v>2185</v>
      </c>
      <c r="W28" s="813"/>
      <c r="X28" s="814"/>
      <c r="Y28" s="814"/>
      <c r="Z28" s="814"/>
      <c r="AA28" s="814"/>
      <c r="AB28" s="814"/>
      <c r="AC28" s="815"/>
      <c r="AD28" s="816">
        <v>41897</v>
      </c>
      <c r="AE28" s="817">
        <f t="shared" ca="1" si="2"/>
        <v>293</v>
      </c>
      <c r="AF28" s="805" t="s">
        <v>96</v>
      </c>
    </row>
    <row r="29" spans="1:32" s="820" customFormat="1" ht="42" customHeight="1" x14ac:dyDescent="0.2">
      <c r="A29" s="821" t="s">
        <v>1600</v>
      </c>
      <c r="B29" s="805"/>
      <c r="C29" s="805" t="s">
        <v>1675</v>
      </c>
      <c r="D29" s="806" t="s">
        <v>1601</v>
      </c>
      <c r="E29" s="806" t="s">
        <v>1602</v>
      </c>
      <c r="F29" s="807">
        <v>10160</v>
      </c>
      <c r="G29" s="808">
        <v>748.51</v>
      </c>
      <c r="H29" s="808">
        <v>0</v>
      </c>
      <c r="I29" s="808">
        <f>762.91+762.91</f>
        <v>1525.82</v>
      </c>
      <c r="J29" s="808">
        <v>0</v>
      </c>
      <c r="K29" s="808">
        <f>762.91+762.91</f>
        <v>1525.82</v>
      </c>
      <c r="L29" s="808">
        <v>762.91</v>
      </c>
      <c r="M29" s="808">
        <v>726.92</v>
      </c>
      <c r="N29" s="808">
        <v>719.72</v>
      </c>
      <c r="O29" s="808">
        <v>719.72</v>
      </c>
      <c r="P29" s="808">
        <v>734.12</v>
      </c>
      <c r="Q29" s="808">
        <v>0</v>
      </c>
      <c r="R29" s="808">
        <v>0</v>
      </c>
      <c r="S29" s="809">
        <f t="shared" si="0"/>
        <v>7463.54</v>
      </c>
      <c r="T29" s="810">
        <f t="shared" ca="1" si="1"/>
        <v>-998</v>
      </c>
      <c r="U29" s="811">
        <v>43384</v>
      </c>
      <c r="V29" s="812" t="s">
        <v>2094</v>
      </c>
      <c r="W29" s="826"/>
      <c r="X29" s="814"/>
      <c r="Y29" s="814"/>
      <c r="Z29" s="814"/>
      <c r="AA29" s="814"/>
      <c r="AB29" s="814"/>
      <c r="AC29" s="815">
        <v>43318</v>
      </c>
      <c r="AD29" s="816">
        <v>41913</v>
      </c>
      <c r="AE29" s="817">
        <f t="shared" ca="1" si="2"/>
        <v>277</v>
      </c>
      <c r="AF29" s="805" t="s">
        <v>96</v>
      </c>
    </row>
    <row r="30" spans="1:32" s="818" customFormat="1" ht="25.5" x14ac:dyDescent="0.2">
      <c r="A30" s="804" t="s">
        <v>1614</v>
      </c>
      <c r="B30" s="805"/>
      <c r="C30" s="805"/>
      <c r="D30" s="806" t="s">
        <v>1615</v>
      </c>
      <c r="E30" s="806" t="s">
        <v>1616</v>
      </c>
      <c r="F30" s="807">
        <v>61680</v>
      </c>
      <c r="G30" s="808">
        <v>0</v>
      </c>
      <c r="H30" s="808">
        <v>0</v>
      </c>
      <c r="I30" s="808">
        <v>0</v>
      </c>
      <c r="J30" s="808">
        <v>0</v>
      </c>
      <c r="K30" s="808">
        <v>0</v>
      </c>
      <c r="L30" s="808">
        <v>0</v>
      </c>
      <c r="M30" s="808">
        <v>0</v>
      </c>
      <c r="N30" s="808">
        <v>0</v>
      </c>
      <c r="O30" s="808">
        <v>0</v>
      </c>
      <c r="P30" s="808">
        <v>0</v>
      </c>
      <c r="Q30" s="808">
        <v>0</v>
      </c>
      <c r="R30" s="808">
        <v>0</v>
      </c>
      <c r="S30" s="809">
        <f t="shared" si="0"/>
        <v>0</v>
      </c>
      <c r="T30" s="810">
        <f t="shared" ca="1" si="1"/>
        <v>-962</v>
      </c>
      <c r="U30" s="811">
        <v>43420</v>
      </c>
      <c r="V30" s="812" t="s">
        <v>1617</v>
      </c>
      <c r="W30" s="813"/>
      <c r="X30" s="814"/>
      <c r="Y30" s="814"/>
      <c r="Z30" s="814"/>
      <c r="AA30" s="814"/>
      <c r="AB30" s="814"/>
      <c r="AC30" s="815">
        <v>43360</v>
      </c>
      <c r="AD30" s="816">
        <v>41961</v>
      </c>
      <c r="AE30" s="817">
        <f t="shared" ca="1" si="2"/>
        <v>229</v>
      </c>
      <c r="AF30" s="805" t="s">
        <v>41</v>
      </c>
    </row>
    <row r="31" spans="1:32" s="818" customFormat="1" ht="38.25" x14ac:dyDescent="0.2">
      <c r="A31" s="804" t="s">
        <v>1645</v>
      </c>
      <c r="B31" s="805" t="s">
        <v>1608</v>
      </c>
      <c r="C31" s="805" t="s">
        <v>56</v>
      </c>
      <c r="D31" s="806" t="s">
        <v>1646</v>
      </c>
      <c r="E31" s="806" t="s">
        <v>1647</v>
      </c>
      <c r="F31" s="807">
        <v>13399.2</v>
      </c>
      <c r="G31" s="808">
        <v>0</v>
      </c>
      <c r="H31" s="808">
        <v>0</v>
      </c>
      <c r="I31" s="808">
        <v>0</v>
      </c>
      <c r="J31" s="808">
        <v>0</v>
      </c>
      <c r="K31" s="808">
        <v>0</v>
      </c>
      <c r="L31" s="808">
        <v>0</v>
      </c>
      <c r="M31" s="808">
        <v>0</v>
      </c>
      <c r="N31" s="808">
        <v>0</v>
      </c>
      <c r="O31" s="808">
        <v>0</v>
      </c>
      <c r="P31" s="808">
        <v>0</v>
      </c>
      <c r="Q31" s="808">
        <v>0</v>
      </c>
      <c r="R31" s="808">
        <v>0</v>
      </c>
      <c r="S31" s="809">
        <f t="shared" si="0"/>
        <v>0</v>
      </c>
      <c r="T31" s="810">
        <f t="shared" ca="1" si="1"/>
        <v>-538</v>
      </c>
      <c r="U31" s="811">
        <v>43844</v>
      </c>
      <c r="V31" s="812" t="s">
        <v>1648</v>
      </c>
      <c r="W31" s="813"/>
      <c r="X31" s="814"/>
      <c r="Y31" s="814"/>
      <c r="Z31" s="814"/>
      <c r="AA31" s="814"/>
      <c r="AB31" s="814"/>
      <c r="AC31" s="815"/>
      <c r="AD31" s="816">
        <v>42019</v>
      </c>
      <c r="AE31" s="817">
        <f t="shared" ca="1" si="2"/>
        <v>171</v>
      </c>
      <c r="AF31" s="805" t="s">
        <v>48</v>
      </c>
    </row>
    <row r="32" spans="1:32" s="818" customFormat="1" ht="48" customHeight="1" x14ac:dyDescent="0.2">
      <c r="A32" s="804" t="s">
        <v>1651</v>
      </c>
      <c r="B32" s="805"/>
      <c r="C32" s="805"/>
      <c r="D32" s="806" t="s">
        <v>1654</v>
      </c>
      <c r="E32" s="806" t="s">
        <v>1652</v>
      </c>
      <c r="F32" s="807">
        <v>41899.019999999997</v>
      </c>
      <c r="G32" s="808">
        <v>0</v>
      </c>
      <c r="H32" s="808">
        <v>0</v>
      </c>
      <c r="I32" s="808">
        <v>0</v>
      </c>
      <c r="J32" s="808">
        <v>0</v>
      </c>
      <c r="K32" s="808">
        <v>0</v>
      </c>
      <c r="L32" s="808">
        <v>0</v>
      </c>
      <c r="M32" s="808">
        <v>0</v>
      </c>
      <c r="N32" s="808">
        <v>0</v>
      </c>
      <c r="O32" s="808">
        <v>0</v>
      </c>
      <c r="P32" s="808">
        <v>0</v>
      </c>
      <c r="Q32" s="808">
        <v>0</v>
      </c>
      <c r="R32" s="808">
        <v>0</v>
      </c>
      <c r="S32" s="809">
        <f t="shared" si="0"/>
        <v>0</v>
      </c>
      <c r="T32" s="810">
        <f t="shared" ca="1" si="1"/>
        <v>-1225</v>
      </c>
      <c r="U32" s="811">
        <v>43157</v>
      </c>
      <c r="V32" s="812" t="s">
        <v>1653</v>
      </c>
      <c r="W32" s="813"/>
      <c r="X32" s="814"/>
      <c r="Y32" s="814"/>
      <c r="Z32" s="814"/>
      <c r="AA32" s="814"/>
      <c r="AB32" s="814"/>
      <c r="AC32" s="815">
        <v>43159</v>
      </c>
      <c r="AD32" s="816">
        <v>42062</v>
      </c>
      <c r="AE32" s="817">
        <f t="shared" ca="1" si="2"/>
        <v>128</v>
      </c>
      <c r="AF32" s="805" t="s">
        <v>41</v>
      </c>
    </row>
    <row r="33" spans="1:32" s="818" customFormat="1" ht="38.25" x14ac:dyDescent="0.2">
      <c r="A33" s="804" t="s">
        <v>1891</v>
      </c>
      <c r="B33" s="805" t="s">
        <v>2032</v>
      </c>
      <c r="C33" s="805" t="s">
        <v>56</v>
      </c>
      <c r="D33" s="806" t="s">
        <v>580</v>
      </c>
      <c r="E33" s="806" t="s">
        <v>1892</v>
      </c>
      <c r="F33" s="827">
        <v>3282.24</v>
      </c>
      <c r="G33" s="808">
        <v>274</v>
      </c>
      <c r="H33" s="808">
        <f>274+350</f>
        <v>624</v>
      </c>
      <c r="I33" s="808">
        <v>274</v>
      </c>
      <c r="J33" s="828">
        <v>274</v>
      </c>
      <c r="K33" s="825">
        <f>274+315</f>
        <v>589</v>
      </c>
      <c r="L33" s="808">
        <v>274</v>
      </c>
      <c r="M33" s="808">
        <v>274</v>
      </c>
      <c r="N33" s="808">
        <f>525+274</f>
        <v>799</v>
      </c>
      <c r="O33" s="808">
        <v>0</v>
      </c>
      <c r="P33" s="808">
        <v>0</v>
      </c>
      <c r="Q33" s="808">
        <v>0</v>
      </c>
      <c r="R33" s="808">
        <v>0</v>
      </c>
      <c r="S33" s="809">
        <f t="shared" si="0"/>
        <v>3382</v>
      </c>
      <c r="T33" s="810">
        <f t="shared" ca="1" si="1"/>
        <v>-1113</v>
      </c>
      <c r="U33" s="811">
        <v>43269</v>
      </c>
      <c r="V33" s="812" t="s">
        <v>2033</v>
      </c>
      <c r="W33" s="813"/>
      <c r="X33" s="814"/>
      <c r="Y33" s="814"/>
      <c r="Z33" s="814"/>
      <c r="AA33" s="814"/>
      <c r="AB33" s="814"/>
      <c r="AC33" s="815">
        <v>43222</v>
      </c>
      <c r="AD33" s="816">
        <v>42174</v>
      </c>
      <c r="AE33" s="817">
        <f t="shared" ca="1" si="2"/>
        <v>16</v>
      </c>
      <c r="AF33" s="805" t="s">
        <v>48</v>
      </c>
    </row>
    <row r="34" spans="1:32" s="818" customFormat="1" ht="25.5" x14ac:dyDescent="0.2">
      <c r="A34" s="804" t="s">
        <v>1722</v>
      </c>
      <c r="B34" s="805" t="s">
        <v>1608</v>
      </c>
      <c r="C34" s="805" t="s">
        <v>56</v>
      </c>
      <c r="D34" s="806" t="s">
        <v>50</v>
      </c>
      <c r="E34" s="806" t="s">
        <v>1723</v>
      </c>
      <c r="F34" s="807">
        <v>14295.24</v>
      </c>
      <c r="G34" s="808">
        <f>965.53+102.16</f>
        <v>1067.69</v>
      </c>
      <c r="H34" s="808">
        <f t="shared" ref="H34:R34" si="3">965.53+102.16</f>
        <v>1067.69</v>
      </c>
      <c r="I34" s="808">
        <f t="shared" si="3"/>
        <v>1067.69</v>
      </c>
      <c r="J34" s="808">
        <f t="shared" si="3"/>
        <v>1067.69</v>
      </c>
      <c r="K34" s="808">
        <f t="shared" si="3"/>
        <v>1067.69</v>
      </c>
      <c r="L34" s="808">
        <f t="shared" si="3"/>
        <v>1067.69</v>
      </c>
      <c r="M34" s="808">
        <f t="shared" si="3"/>
        <v>1067.69</v>
      </c>
      <c r="N34" s="808">
        <f t="shared" si="3"/>
        <v>1067.69</v>
      </c>
      <c r="O34" s="808">
        <f t="shared" si="3"/>
        <v>1067.69</v>
      </c>
      <c r="P34" s="808">
        <f t="shared" si="3"/>
        <v>1067.69</v>
      </c>
      <c r="Q34" s="808">
        <f t="shared" si="3"/>
        <v>1067.69</v>
      </c>
      <c r="R34" s="808">
        <f t="shared" si="3"/>
        <v>1067.69</v>
      </c>
      <c r="S34" s="809">
        <f t="shared" si="0"/>
        <v>12812.280000000004</v>
      </c>
      <c r="T34" s="810">
        <f t="shared" ca="1" si="1"/>
        <v>-804</v>
      </c>
      <c r="U34" s="811">
        <v>43578</v>
      </c>
      <c r="V34" s="812" t="s">
        <v>2275</v>
      </c>
      <c r="W34" s="813"/>
      <c r="X34" s="814"/>
      <c r="Y34" s="814"/>
      <c r="Z34" s="814"/>
      <c r="AA34" s="814"/>
      <c r="AB34" s="814"/>
      <c r="AC34" s="815"/>
      <c r="AD34" s="816">
        <v>42117</v>
      </c>
      <c r="AE34" s="817">
        <f t="shared" ca="1" si="2"/>
        <v>73</v>
      </c>
      <c r="AF34" s="805" t="s">
        <v>54</v>
      </c>
    </row>
    <row r="35" spans="1:32" s="818" customFormat="1" ht="38.25" x14ac:dyDescent="0.2">
      <c r="A35" s="804" t="s">
        <v>1733</v>
      </c>
      <c r="B35" s="805"/>
      <c r="C35" s="805" t="s">
        <v>1734</v>
      </c>
      <c r="D35" s="806" t="s">
        <v>1735</v>
      </c>
      <c r="E35" s="806" t="s">
        <v>1736</v>
      </c>
      <c r="F35" s="807">
        <v>534552.72</v>
      </c>
      <c r="G35" s="808">
        <v>44046.36</v>
      </c>
      <c r="H35" s="808">
        <v>44046.36</v>
      </c>
      <c r="I35" s="808">
        <v>44046.36</v>
      </c>
      <c r="J35" s="808">
        <v>44046.36</v>
      </c>
      <c r="K35" s="808">
        <v>44113.95</v>
      </c>
      <c r="L35" s="808">
        <v>44113.95</v>
      </c>
      <c r="M35" s="808">
        <v>44113.95</v>
      </c>
      <c r="N35" s="808">
        <v>44113.95</v>
      </c>
      <c r="O35" s="808">
        <v>44113.95</v>
      </c>
      <c r="P35" s="808">
        <v>44113.95</v>
      </c>
      <c r="Q35" s="808">
        <f>44849.41+45269.42</f>
        <v>90118.83</v>
      </c>
      <c r="R35" s="808">
        <v>45269.42</v>
      </c>
      <c r="S35" s="809">
        <f t="shared" si="0"/>
        <v>576257.39000000013</v>
      </c>
      <c r="T35" s="810">
        <f t="shared" ca="1" si="1"/>
        <v>-702</v>
      </c>
      <c r="U35" s="811">
        <v>43680</v>
      </c>
      <c r="V35" s="812" t="s">
        <v>2398</v>
      </c>
      <c r="W35" s="813"/>
      <c r="X35" s="814"/>
      <c r="Y35" s="814"/>
      <c r="Z35" s="814"/>
      <c r="AA35" s="814"/>
      <c r="AB35" s="814"/>
      <c r="AC35" s="815"/>
      <c r="AD35" s="816">
        <v>43315</v>
      </c>
      <c r="AE35" s="817">
        <f t="shared" ca="1" si="2"/>
        <v>-1125</v>
      </c>
      <c r="AF35" s="805" t="s">
        <v>48</v>
      </c>
    </row>
    <row r="36" spans="1:32" s="820" customFormat="1" ht="38.25" x14ac:dyDescent="0.2">
      <c r="A36" s="821" t="s">
        <v>1770</v>
      </c>
      <c r="B36" s="805"/>
      <c r="C36" s="805" t="s">
        <v>1771</v>
      </c>
      <c r="D36" s="806" t="s">
        <v>44</v>
      </c>
      <c r="E36" s="806" t="s">
        <v>2111</v>
      </c>
      <c r="F36" s="807">
        <v>70048.36</v>
      </c>
      <c r="G36" s="808">
        <v>5837.36</v>
      </c>
      <c r="H36" s="808">
        <v>5837.36</v>
      </c>
      <c r="I36" s="808">
        <v>5837.36</v>
      </c>
      <c r="J36" s="808">
        <v>5837.36</v>
      </c>
      <c r="K36" s="808">
        <v>5837.36</v>
      </c>
      <c r="L36" s="808">
        <v>5837.36</v>
      </c>
      <c r="M36" s="808">
        <v>0</v>
      </c>
      <c r="N36" s="808">
        <v>5837.37</v>
      </c>
      <c r="O36" s="808">
        <v>5837.36</v>
      </c>
      <c r="P36" s="808">
        <v>5837.36</v>
      </c>
      <c r="Q36" s="808">
        <v>5837.36</v>
      </c>
      <c r="R36" s="808">
        <v>5837.37</v>
      </c>
      <c r="S36" s="809">
        <f t="shared" si="0"/>
        <v>64210.98</v>
      </c>
      <c r="T36" s="810">
        <f t="shared" ca="1" si="1"/>
        <v>-949</v>
      </c>
      <c r="U36" s="811">
        <v>43433</v>
      </c>
      <c r="V36" s="812" t="s">
        <v>2112</v>
      </c>
      <c r="W36" s="813"/>
      <c r="X36" s="814"/>
      <c r="Y36" s="814"/>
      <c r="Z36" s="814"/>
      <c r="AA36" s="814"/>
      <c r="AB36" s="814"/>
      <c r="AC36" s="815">
        <v>43378</v>
      </c>
      <c r="AD36" s="816">
        <v>42338</v>
      </c>
      <c r="AE36" s="817">
        <f t="shared" ca="1" si="2"/>
        <v>-148</v>
      </c>
      <c r="AF36" s="805" t="s">
        <v>48</v>
      </c>
    </row>
    <row r="37" spans="1:32" s="820" customFormat="1" ht="25.5" x14ac:dyDescent="0.2">
      <c r="A37" s="821" t="s">
        <v>1777</v>
      </c>
      <c r="B37" s="829" t="s">
        <v>1775</v>
      </c>
      <c r="C37" s="805"/>
      <c r="D37" s="806" t="s">
        <v>1778</v>
      </c>
      <c r="E37" s="806" t="s">
        <v>1779</v>
      </c>
      <c r="F37" s="807">
        <v>15666.96</v>
      </c>
      <c r="G37" s="808">
        <v>1305.58</v>
      </c>
      <c r="H37" s="808">
        <v>1305.58</v>
      </c>
      <c r="I37" s="808">
        <v>1305.58</v>
      </c>
      <c r="J37" s="808">
        <v>1305.58</v>
      </c>
      <c r="K37" s="808">
        <v>1305.58</v>
      </c>
      <c r="L37" s="808">
        <v>1305.58</v>
      </c>
      <c r="M37" s="808">
        <v>0</v>
      </c>
      <c r="N37" s="808">
        <f>1305.58+1305.58</f>
        <v>2611.16</v>
      </c>
      <c r="O37" s="808">
        <v>1305.58</v>
      </c>
      <c r="P37" s="808">
        <v>1305.58</v>
      </c>
      <c r="Q37" s="808">
        <v>1305.58</v>
      </c>
      <c r="R37" s="808">
        <v>1305.58</v>
      </c>
      <c r="S37" s="809">
        <f t="shared" si="0"/>
        <v>15666.96</v>
      </c>
      <c r="T37" s="810">
        <f t="shared" ca="1" si="1"/>
        <v>-949</v>
      </c>
      <c r="U37" s="811">
        <v>43433</v>
      </c>
      <c r="V37" s="812" t="s">
        <v>2112</v>
      </c>
      <c r="W37" s="813"/>
      <c r="X37" s="814"/>
      <c r="Y37" s="814"/>
      <c r="Z37" s="814"/>
      <c r="AA37" s="814"/>
      <c r="AB37" s="814"/>
      <c r="AC37" s="815">
        <v>43378</v>
      </c>
      <c r="AD37" s="816">
        <v>42338</v>
      </c>
      <c r="AE37" s="817">
        <f t="shared" ca="1" si="2"/>
        <v>-148</v>
      </c>
      <c r="AF37" s="805" t="s">
        <v>1454</v>
      </c>
    </row>
    <row r="38" spans="1:32" s="820" customFormat="1" ht="114.75" x14ac:dyDescent="0.2">
      <c r="A38" s="821" t="s">
        <v>1792</v>
      </c>
      <c r="B38" s="805"/>
      <c r="C38" s="805" t="s">
        <v>1793</v>
      </c>
      <c r="D38" s="806" t="s">
        <v>586</v>
      </c>
      <c r="E38" s="806" t="s">
        <v>1880</v>
      </c>
      <c r="F38" s="807">
        <v>0</v>
      </c>
      <c r="G38" s="808">
        <v>0</v>
      </c>
      <c r="H38" s="808">
        <v>0</v>
      </c>
      <c r="I38" s="808">
        <v>0</v>
      </c>
      <c r="J38" s="808">
        <v>0</v>
      </c>
      <c r="K38" s="808">
        <v>0</v>
      </c>
      <c r="L38" s="808">
        <v>0</v>
      </c>
      <c r="M38" s="808">
        <v>0</v>
      </c>
      <c r="N38" s="808">
        <v>0</v>
      </c>
      <c r="O38" s="808">
        <v>0</v>
      </c>
      <c r="P38" s="808">
        <v>0</v>
      </c>
      <c r="Q38" s="808">
        <v>0</v>
      </c>
      <c r="R38" s="808">
        <v>0</v>
      </c>
      <c r="S38" s="809">
        <f t="shared" si="0"/>
        <v>0</v>
      </c>
      <c r="T38" s="830">
        <f t="shared" ca="1" si="1"/>
        <v>-188</v>
      </c>
      <c r="U38" s="811">
        <v>44194</v>
      </c>
      <c r="V38" s="831" t="s">
        <v>1873</v>
      </c>
      <c r="W38" s="813"/>
      <c r="X38" s="814"/>
      <c r="Y38" s="814"/>
      <c r="Z38" s="814"/>
      <c r="AA38" s="814"/>
      <c r="AB38" s="814"/>
      <c r="AC38" s="815"/>
      <c r="AD38" s="816">
        <v>42358</v>
      </c>
      <c r="AE38" s="832">
        <f t="shared" ca="1" si="2"/>
        <v>-168</v>
      </c>
      <c r="AF38" s="805" t="s">
        <v>1796</v>
      </c>
    </row>
    <row r="39" spans="1:32" s="822" customFormat="1" ht="38.25" x14ac:dyDescent="0.2">
      <c r="A39" s="821" t="s">
        <v>1756</v>
      </c>
      <c r="B39" s="805"/>
      <c r="C39" s="805" t="s">
        <v>1757</v>
      </c>
      <c r="D39" s="806" t="s">
        <v>1799</v>
      </c>
      <c r="E39" s="806" t="s">
        <v>1798</v>
      </c>
      <c r="F39" s="807" t="s">
        <v>314</v>
      </c>
      <c r="G39" s="808">
        <v>0</v>
      </c>
      <c r="H39" s="808">
        <v>0</v>
      </c>
      <c r="I39" s="808">
        <v>0</v>
      </c>
      <c r="J39" s="808">
        <v>0</v>
      </c>
      <c r="K39" s="808">
        <v>0</v>
      </c>
      <c r="L39" s="808">
        <v>0</v>
      </c>
      <c r="M39" s="808">
        <v>0</v>
      </c>
      <c r="N39" s="808">
        <v>0</v>
      </c>
      <c r="O39" s="808">
        <v>0</v>
      </c>
      <c r="P39" s="808">
        <v>0</v>
      </c>
      <c r="Q39" s="808">
        <v>0</v>
      </c>
      <c r="R39" s="808">
        <v>0</v>
      </c>
      <c r="S39" s="809">
        <f t="shared" si="0"/>
        <v>0</v>
      </c>
      <c r="T39" s="810">
        <f t="shared" ca="1" si="1"/>
        <v>-1152</v>
      </c>
      <c r="U39" s="811">
        <v>43230</v>
      </c>
      <c r="V39" s="812" t="s">
        <v>2051</v>
      </c>
      <c r="W39" s="813"/>
      <c r="X39" s="814"/>
      <c r="Y39" s="814"/>
      <c r="Z39" s="814"/>
      <c r="AA39" s="814"/>
      <c r="AB39" s="814"/>
      <c r="AC39" s="815">
        <v>43172</v>
      </c>
      <c r="AD39" s="816">
        <v>42356</v>
      </c>
      <c r="AE39" s="817">
        <f t="shared" ca="1" si="2"/>
        <v>-166</v>
      </c>
      <c r="AF39" s="805" t="s">
        <v>1763</v>
      </c>
    </row>
    <row r="40" spans="1:32" s="822" customFormat="1" ht="38.25" x14ac:dyDescent="0.2">
      <c r="A40" s="821" t="s">
        <v>1756</v>
      </c>
      <c r="B40" s="805"/>
      <c r="C40" s="805" t="s">
        <v>1757</v>
      </c>
      <c r="D40" s="806" t="s">
        <v>1807</v>
      </c>
      <c r="E40" s="806" t="s">
        <v>1798</v>
      </c>
      <c r="F40" s="807" t="s">
        <v>314</v>
      </c>
      <c r="G40" s="808">
        <v>0</v>
      </c>
      <c r="H40" s="808">
        <v>0</v>
      </c>
      <c r="I40" s="808">
        <v>0</v>
      </c>
      <c r="J40" s="808">
        <v>0</v>
      </c>
      <c r="K40" s="808">
        <v>0</v>
      </c>
      <c r="L40" s="808">
        <v>0</v>
      </c>
      <c r="M40" s="808">
        <v>0</v>
      </c>
      <c r="N40" s="808">
        <v>0</v>
      </c>
      <c r="O40" s="808">
        <v>0</v>
      </c>
      <c r="P40" s="808">
        <v>0</v>
      </c>
      <c r="Q40" s="808">
        <v>0</v>
      </c>
      <c r="R40" s="808">
        <v>0</v>
      </c>
      <c r="S40" s="809">
        <f t="shared" si="0"/>
        <v>0</v>
      </c>
      <c r="T40" s="810">
        <f t="shared" ca="1" si="1"/>
        <v>-1152</v>
      </c>
      <c r="U40" s="811">
        <v>43230</v>
      </c>
      <c r="V40" s="812" t="s">
        <v>2051</v>
      </c>
      <c r="W40" s="813"/>
      <c r="X40" s="814"/>
      <c r="Y40" s="814"/>
      <c r="Z40" s="814"/>
      <c r="AA40" s="814"/>
      <c r="AB40" s="814"/>
      <c r="AC40" s="815">
        <v>43172</v>
      </c>
      <c r="AD40" s="816">
        <v>42356</v>
      </c>
      <c r="AE40" s="817">
        <f t="shared" ca="1" si="2"/>
        <v>-166</v>
      </c>
      <c r="AF40" s="805" t="s">
        <v>1763</v>
      </c>
    </row>
    <row r="41" spans="1:32" s="820" customFormat="1" ht="38.25" x14ac:dyDescent="0.2">
      <c r="A41" s="821" t="s">
        <v>1756</v>
      </c>
      <c r="B41" s="805"/>
      <c r="C41" s="805" t="s">
        <v>1757</v>
      </c>
      <c r="D41" s="806" t="s">
        <v>1802</v>
      </c>
      <c r="E41" s="806" t="s">
        <v>1798</v>
      </c>
      <c r="F41" s="807" t="s">
        <v>314</v>
      </c>
      <c r="G41" s="808">
        <v>0</v>
      </c>
      <c r="H41" s="808">
        <v>0</v>
      </c>
      <c r="I41" s="808">
        <v>0</v>
      </c>
      <c r="J41" s="808">
        <v>0</v>
      </c>
      <c r="K41" s="808">
        <v>0</v>
      </c>
      <c r="L41" s="808">
        <v>0</v>
      </c>
      <c r="M41" s="808">
        <v>0</v>
      </c>
      <c r="N41" s="808">
        <v>0</v>
      </c>
      <c r="O41" s="808">
        <v>0</v>
      </c>
      <c r="P41" s="808">
        <v>0</v>
      </c>
      <c r="Q41" s="808">
        <v>0</v>
      </c>
      <c r="R41" s="808">
        <v>0</v>
      </c>
      <c r="S41" s="809">
        <f t="shared" si="0"/>
        <v>0</v>
      </c>
      <c r="T41" s="810">
        <f t="shared" ca="1" si="1"/>
        <v>-1152</v>
      </c>
      <c r="U41" s="811">
        <v>43230</v>
      </c>
      <c r="V41" s="812" t="s">
        <v>2052</v>
      </c>
      <c r="W41" s="813"/>
      <c r="X41" s="814"/>
      <c r="Y41" s="814"/>
      <c r="Z41" s="814"/>
      <c r="AA41" s="814"/>
      <c r="AB41" s="814"/>
      <c r="AC41" s="815">
        <v>43172</v>
      </c>
      <c r="AD41" s="816">
        <v>42356</v>
      </c>
      <c r="AE41" s="817">
        <f t="shared" ca="1" si="2"/>
        <v>-166</v>
      </c>
      <c r="AF41" s="805" t="s">
        <v>1763</v>
      </c>
    </row>
    <row r="42" spans="1:32" s="820" customFormat="1" ht="38.25" x14ac:dyDescent="0.2">
      <c r="A42" s="821" t="s">
        <v>1756</v>
      </c>
      <c r="B42" s="805"/>
      <c r="C42" s="805" t="s">
        <v>1757</v>
      </c>
      <c r="D42" s="806" t="s">
        <v>1803</v>
      </c>
      <c r="E42" s="806" t="s">
        <v>1798</v>
      </c>
      <c r="F42" s="807" t="s">
        <v>314</v>
      </c>
      <c r="G42" s="808">
        <v>0</v>
      </c>
      <c r="H42" s="808">
        <v>0</v>
      </c>
      <c r="I42" s="808">
        <v>0</v>
      </c>
      <c r="J42" s="808">
        <v>0</v>
      </c>
      <c r="K42" s="808">
        <v>0</v>
      </c>
      <c r="L42" s="808">
        <v>0</v>
      </c>
      <c r="M42" s="808">
        <v>0</v>
      </c>
      <c r="N42" s="808">
        <v>0</v>
      </c>
      <c r="O42" s="808">
        <v>0</v>
      </c>
      <c r="P42" s="808">
        <v>0</v>
      </c>
      <c r="Q42" s="808">
        <v>0</v>
      </c>
      <c r="R42" s="808">
        <v>0</v>
      </c>
      <c r="S42" s="809">
        <f t="shared" si="0"/>
        <v>0</v>
      </c>
      <c r="T42" s="810">
        <f t="shared" ca="1" si="1"/>
        <v>-1152</v>
      </c>
      <c r="U42" s="811">
        <v>43230</v>
      </c>
      <c r="V42" s="812" t="s">
        <v>2051</v>
      </c>
      <c r="W42" s="813"/>
      <c r="X42" s="814"/>
      <c r="Y42" s="814"/>
      <c r="Z42" s="814"/>
      <c r="AA42" s="814"/>
      <c r="AB42" s="814"/>
      <c r="AC42" s="815">
        <v>43172</v>
      </c>
      <c r="AD42" s="816">
        <v>42356</v>
      </c>
      <c r="AE42" s="817">
        <f t="shared" ca="1" si="2"/>
        <v>-166</v>
      </c>
      <c r="AF42" s="805" t="s">
        <v>1763</v>
      </c>
    </row>
    <row r="43" spans="1:32" s="820" customFormat="1" ht="38.25" x14ac:dyDescent="0.2">
      <c r="A43" s="821" t="s">
        <v>1756</v>
      </c>
      <c r="B43" s="805"/>
      <c r="C43" s="805" t="s">
        <v>1757</v>
      </c>
      <c r="D43" s="806" t="s">
        <v>1806</v>
      </c>
      <c r="E43" s="806" t="s">
        <v>1798</v>
      </c>
      <c r="F43" s="807" t="s">
        <v>314</v>
      </c>
      <c r="G43" s="808">
        <v>0</v>
      </c>
      <c r="H43" s="808">
        <v>0</v>
      </c>
      <c r="I43" s="808">
        <v>0</v>
      </c>
      <c r="J43" s="808">
        <v>0</v>
      </c>
      <c r="K43" s="808">
        <v>0</v>
      </c>
      <c r="L43" s="808">
        <v>0</v>
      </c>
      <c r="M43" s="808">
        <v>0</v>
      </c>
      <c r="N43" s="808">
        <v>0</v>
      </c>
      <c r="O43" s="808">
        <v>0</v>
      </c>
      <c r="P43" s="808">
        <v>0</v>
      </c>
      <c r="Q43" s="808">
        <v>0</v>
      </c>
      <c r="R43" s="808">
        <v>0</v>
      </c>
      <c r="S43" s="809">
        <f t="shared" si="0"/>
        <v>0</v>
      </c>
      <c r="T43" s="810">
        <f t="shared" ca="1" si="1"/>
        <v>-1152</v>
      </c>
      <c r="U43" s="811">
        <v>43230</v>
      </c>
      <c r="V43" s="812" t="s">
        <v>2052</v>
      </c>
      <c r="W43" s="813"/>
      <c r="X43" s="814"/>
      <c r="Y43" s="814"/>
      <c r="Z43" s="814"/>
      <c r="AA43" s="814"/>
      <c r="AB43" s="814"/>
      <c r="AC43" s="815">
        <v>43172</v>
      </c>
      <c r="AD43" s="816">
        <v>42356</v>
      </c>
      <c r="AE43" s="817">
        <f t="shared" ca="1" si="2"/>
        <v>-166</v>
      </c>
      <c r="AF43" s="805" t="s">
        <v>1763</v>
      </c>
    </row>
    <row r="44" spans="1:32" s="820" customFormat="1" ht="38.25" x14ac:dyDescent="0.2">
      <c r="A44" s="821" t="s">
        <v>1756</v>
      </c>
      <c r="B44" s="805"/>
      <c r="C44" s="805" t="s">
        <v>1757</v>
      </c>
      <c r="D44" s="806" t="s">
        <v>1808</v>
      </c>
      <c r="E44" s="806" t="s">
        <v>1798</v>
      </c>
      <c r="F44" s="807" t="s">
        <v>314</v>
      </c>
      <c r="G44" s="808">
        <v>0</v>
      </c>
      <c r="H44" s="808">
        <v>0</v>
      </c>
      <c r="I44" s="808">
        <v>0</v>
      </c>
      <c r="J44" s="808">
        <v>0</v>
      </c>
      <c r="K44" s="808">
        <v>0</v>
      </c>
      <c r="L44" s="808">
        <v>0</v>
      </c>
      <c r="M44" s="808">
        <v>0</v>
      </c>
      <c r="N44" s="808">
        <v>0</v>
      </c>
      <c r="O44" s="808">
        <v>0</v>
      </c>
      <c r="P44" s="808">
        <v>0</v>
      </c>
      <c r="Q44" s="808">
        <v>0</v>
      </c>
      <c r="R44" s="808">
        <v>0</v>
      </c>
      <c r="S44" s="809">
        <f t="shared" si="0"/>
        <v>0</v>
      </c>
      <c r="T44" s="810">
        <f t="shared" ca="1" si="1"/>
        <v>-1152</v>
      </c>
      <c r="U44" s="811">
        <v>43230</v>
      </c>
      <c r="V44" s="812" t="s">
        <v>2051</v>
      </c>
      <c r="W44" s="813"/>
      <c r="X44" s="814"/>
      <c r="Y44" s="814"/>
      <c r="Z44" s="814"/>
      <c r="AA44" s="814"/>
      <c r="AB44" s="814"/>
      <c r="AC44" s="815">
        <v>43172</v>
      </c>
      <c r="AD44" s="816">
        <v>42356</v>
      </c>
      <c r="AE44" s="817">
        <f t="shared" ca="1" si="2"/>
        <v>-166</v>
      </c>
      <c r="AF44" s="805" t="s">
        <v>1763</v>
      </c>
    </row>
    <row r="45" spans="1:32" s="820" customFormat="1" ht="38.25" x14ac:dyDescent="0.2">
      <c r="A45" s="821" t="s">
        <v>1756</v>
      </c>
      <c r="B45" s="805"/>
      <c r="C45" s="805" t="s">
        <v>1757</v>
      </c>
      <c r="D45" s="806" t="s">
        <v>1809</v>
      </c>
      <c r="E45" s="806" t="s">
        <v>1798</v>
      </c>
      <c r="F45" s="807" t="s">
        <v>314</v>
      </c>
      <c r="G45" s="808">
        <v>0</v>
      </c>
      <c r="H45" s="808">
        <v>0</v>
      </c>
      <c r="I45" s="808">
        <v>0</v>
      </c>
      <c r="J45" s="808">
        <v>0</v>
      </c>
      <c r="K45" s="808">
        <v>0</v>
      </c>
      <c r="L45" s="808">
        <v>0</v>
      </c>
      <c r="M45" s="808">
        <v>0</v>
      </c>
      <c r="N45" s="808">
        <v>0</v>
      </c>
      <c r="O45" s="808">
        <v>0</v>
      </c>
      <c r="P45" s="808">
        <v>0</v>
      </c>
      <c r="Q45" s="808">
        <v>0</v>
      </c>
      <c r="R45" s="808">
        <v>0</v>
      </c>
      <c r="S45" s="809">
        <f t="shared" ref="S45:S93" si="4">SUM(G45:R45)</f>
        <v>0</v>
      </c>
      <c r="T45" s="810">
        <f t="shared" ca="1" si="1"/>
        <v>-1152</v>
      </c>
      <c r="U45" s="811">
        <v>43230</v>
      </c>
      <c r="V45" s="812" t="s">
        <v>2051</v>
      </c>
      <c r="W45" s="813"/>
      <c r="X45" s="814"/>
      <c r="Y45" s="814"/>
      <c r="Z45" s="814"/>
      <c r="AA45" s="814"/>
      <c r="AB45" s="814"/>
      <c r="AC45" s="815">
        <v>43172</v>
      </c>
      <c r="AD45" s="816">
        <v>42356</v>
      </c>
      <c r="AE45" s="817">
        <f t="shared" ca="1" si="2"/>
        <v>-166</v>
      </c>
      <c r="AF45" s="805" t="s">
        <v>1763</v>
      </c>
    </row>
    <row r="46" spans="1:32" s="822" customFormat="1" ht="38.25" x14ac:dyDescent="0.2">
      <c r="A46" s="821" t="s">
        <v>1756</v>
      </c>
      <c r="B46" s="805"/>
      <c r="C46" s="805" t="s">
        <v>1757</v>
      </c>
      <c r="D46" s="806" t="s">
        <v>1812</v>
      </c>
      <c r="E46" s="806" t="s">
        <v>1798</v>
      </c>
      <c r="F46" s="807" t="s">
        <v>314</v>
      </c>
      <c r="G46" s="808">
        <v>0</v>
      </c>
      <c r="H46" s="808">
        <v>0</v>
      </c>
      <c r="I46" s="808">
        <v>0</v>
      </c>
      <c r="J46" s="808">
        <v>0</v>
      </c>
      <c r="K46" s="808">
        <v>0</v>
      </c>
      <c r="L46" s="808">
        <v>0</v>
      </c>
      <c r="M46" s="808">
        <v>0</v>
      </c>
      <c r="N46" s="808">
        <v>0</v>
      </c>
      <c r="O46" s="808">
        <v>0</v>
      </c>
      <c r="P46" s="808">
        <v>0</v>
      </c>
      <c r="Q46" s="808">
        <v>0</v>
      </c>
      <c r="R46" s="808">
        <v>0</v>
      </c>
      <c r="S46" s="809">
        <f t="shared" si="4"/>
        <v>0</v>
      </c>
      <c r="T46" s="810">
        <f t="shared" ca="1" si="1"/>
        <v>-1152</v>
      </c>
      <c r="U46" s="811">
        <v>43230</v>
      </c>
      <c r="V46" s="812" t="s">
        <v>2051</v>
      </c>
      <c r="W46" s="813"/>
      <c r="X46" s="814"/>
      <c r="Y46" s="814"/>
      <c r="Z46" s="814"/>
      <c r="AA46" s="814"/>
      <c r="AB46" s="814"/>
      <c r="AC46" s="815">
        <v>43172</v>
      </c>
      <c r="AD46" s="816">
        <v>42356</v>
      </c>
      <c r="AE46" s="817">
        <f t="shared" ca="1" si="2"/>
        <v>-166</v>
      </c>
      <c r="AF46" s="805" t="s">
        <v>1763</v>
      </c>
    </row>
    <row r="47" spans="1:32" s="822" customFormat="1" ht="38.25" x14ac:dyDescent="0.2">
      <c r="A47" s="821" t="s">
        <v>1756</v>
      </c>
      <c r="B47" s="805"/>
      <c r="C47" s="805" t="s">
        <v>1757</v>
      </c>
      <c r="D47" s="806" t="s">
        <v>125</v>
      </c>
      <c r="E47" s="806" t="s">
        <v>1798</v>
      </c>
      <c r="F47" s="807" t="s">
        <v>314</v>
      </c>
      <c r="G47" s="808">
        <v>0</v>
      </c>
      <c r="H47" s="808">
        <v>0</v>
      </c>
      <c r="I47" s="808">
        <v>0</v>
      </c>
      <c r="J47" s="808">
        <v>0</v>
      </c>
      <c r="K47" s="808">
        <f>740.43+390.77</f>
        <v>1131.1999999999998</v>
      </c>
      <c r="L47" s="808">
        <v>0</v>
      </c>
      <c r="M47" s="808">
        <v>0</v>
      </c>
      <c r="N47" s="808">
        <v>0</v>
      </c>
      <c r="O47" s="808">
        <v>0</v>
      </c>
      <c r="P47" s="808">
        <v>1351.33</v>
      </c>
      <c r="Q47" s="808">
        <v>493.18</v>
      </c>
      <c r="R47" s="808">
        <v>0</v>
      </c>
      <c r="S47" s="809">
        <f t="shared" si="4"/>
        <v>2975.7099999999996</v>
      </c>
      <c r="T47" s="810">
        <f t="shared" ca="1" si="1"/>
        <v>-931</v>
      </c>
      <c r="U47" s="811">
        <v>43451</v>
      </c>
      <c r="V47" s="812" t="s">
        <v>2278</v>
      </c>
      <c r="W47" s="813"/>
      <c r="X47" s="814"/>
      <c r="Y47" s="814"/>
      <c r="Z47" s="814"/>
      <c r="AA47" s="814"/>
      <c r="AB47" s="814"/>
      <c r="AC47" s="815">
        <v>43027</v>
      </c>
      <c r="AD47" s="816">
        <v>42356</v>
      </c>
      <c r="AE47" s="817">
        <f t="shared" ca="1" si="2"/>
        <v>-166</v>
      </c>
      <c r="AF47" s="805" t="s">
        <v>1763</v>
      </c>
    </row>
    <row r="48" spans="1:32" s="822" customFormat="1" ht="38.25" x14ac:dyDescent="0.2">
      <c r="A48" s="821" t="s">
        <v>1756</v>
      </c>
      <c r="B48" s="805"/>
      <c r="C48" s="805" t="s">
        <v>1757</v>
      </c>
      <c r="D48" s="806" t="s">
        <v>1814</v>
      </c>
      <c r="E48" s="806" t="s">
        <v>1798</v>
      </c>
      <c r="F48" s="807" t="s">
        <v>314</v>
      </c>
      <c r="G48" s="808">
        <v>0</v>
      </c>
      <c r="H48" s="808">
        <v>0</v>
      </c>
      <c r="I48" s="808">
        <v>0</v>
      </c>
      <c r="J48" s="808">
        <v>0</v>
      </c>
      <c r="K48" s="808">
        <v>0</v>
      </c>
      <c r="L48" s="808">
        <v>0</v>
      </c>
      <c r="M48" s="808">
        <v>0</v>
      </c>
      <c r="N48" s="808">
        <v>0</v>
      </c>
      <c r="O48" s="808">
        <v>0</v>
      </c>
      <c r="P48" s="808">
        <v>0</v>
      </c>
      <c r="Q48" s="808">
        <v>0</v>
      </c>
      <c r="R48" s="808">
        <v>0</v>
      </c>
      <c r="S48" s="809">
        <f t="shared" si="4"/>
        <v>0</v>
      </c>
      <c r="T48" s="810">
        <f t="shared" ca="1" si="1"/>
        <v>-931</v>
      </c>
      <c r="U48" s="811">
        <v>43451</v>
      </c>
      <c r="V48" s="831" t="s">
        <v>2156</v>
      </c>
      <c r="W48" s="813"/>
      <c r="X48" s="814"/>
      <c r="Y48" s="814"/>
      <c r="Z48" s="814"/>
      <c r="AA48" s="814"/>
      <c r="AB48" s="814"/>
      <c r="AC48" s="815">
        <v>43395</v>
      </c>
      <c r="AD48" s="816">
        <v>42356</v>
      </c>
      <c r="AE48" s="817">
        <f t="shared" ca="1" si="2"/>
        <v>-166</v>
      </c>
      <c r="AF48" s="805" t="s">
        <v>1988</v>
      </c>
    </row>
    <row r="49" spans="1:32" s="822" customFormat="1" ht="38.25" x14ac:dyDescent="0.2">
      <c r="A49" s="821" t="s">
        <v>1756</v>
      </c>
      <c r="B49" s="805"/>
      <c r="C49" s="805" t="s">
        <v>1757</v>
      </c>
      <c r="D49" s="806" t="s">
        <v>1815</v>
      </c>
      <c r="E49" s="806" t="s">
        <v>1798</v>
      </c>
      <c r="F49" s="807" t="s">
        <v>314</v>
      </c>
      <c r="G49" s="808">
        <v>0</v>
      </c>
      <c r="H49" s="808">
        <v>0</v>
      </c>
      <c r="I49" s="808">
        <v>0</v>
      </c>
      <c r="J49" s="808">
        <v>0</v>
      </c>
      <c r="K49" s="808">
        <f>493.05+492.58</f>
        <v>985.63</v>
      </c>
      <c r="L49" s="808">
        <v>0</v>
      </c>
      <c r="M49" s="808">
        <v>0</v>
      </c>
      <c r="N49" s="808">
        <v>0</v>
      </c>
      <c r="O49" s="808">
        <v>0</v>
      </c>
      <c r="P49" s="808">
        <v>0</v>
      </c>
      <c r="Q49" s="808">
        <v>0</v>
      </c>
      <c r="R49" s="808">
        <v>0</v>
      </c>
      <c r="S49" s="809">
        <f t="shared" si="4"/>
        <v>985.63</v>
      </c>
      <c r="T49" s="810">
        <f t="shared" ca="1" si="1"/>
        <v>-931</v>
      </c>
      <c r="U49" s="811">
        <v>43451</v>
      </c>
      <c r="V49" s="812" t="s">
        <v>2267</v>
      </c>
      <c r="W49" s="813"/>
      <c r="X49" s="814"/>
      <c r="Y49" s="814"/>
      <c r="Z49" s="814"/>
      <c r="AA49" s="814"/>
      <c r="AB49" s="814"/>
      <c r="AC49" s="815">
        <v>43433</v>
      </c>
      <c r="AD49" s="816">
        <v>42356</v>
      </c>
      <c r="AE49" s="817">
        <f t="shared" ca="1" si="2"/>
        <v>-166</v>
      </c>
      <c r="AF49" s="805" t="s">
        <v>1763</v>
      </c>
    </row>
    <row r="50" spans="1:32" s="820" customFormat="1" ht="38.25" x14ac:dyDescent="0.2">
      <c r="A50" s="821" t="s">
        <v>1756</v>
      </c>
      <c r="B50" s="805"/>
      <c r="C50" s="805" t="s">
        <v>1757</v>
      </c>
      <c r="D50" s="806" t="s">
        <v>1818</v>
      </c>
      <c r="E50" s="806" t="s">
        <v>1798</v>
      </c>
      <c r="F50" s="807" t="s">
        <v>314</v>
      </c>
      <c r="G50" s="808">
        <v>0</v>
      </c>
      <c r="H50" s="808">
        <v>0</v>
      </c>
      <c r="I50" s="808">
        <v>0</v>
      </c>
      <c r="J50" s="808">
        <v>0</v>
      </c>
      <c r="K50" s="808">
        <v>492.58</v>
      </c>
      <c r="L50" s="808">
        <v>0</v>
      </c>
      <c r="M50" s="808">
        <v>190</v>
      </c>
      <c r="N50" s="808">
        <v>0</v>
      </c>
      <c r="O50" s="808">
        <v>0</v>
      </c>
      <c r="P50" s="808">
        <f>195.45+295.38</f>
        <v>490.83</v>
      </c>
      <c r="Q50" s="808">
        <v>0</v>
      </c>
      <c r="R50" s="808">
        <v>0</v>
      </c>
      <c r="S50" s="809">
        <f t="shared" si="4"/>
        <v>1173.4099999999999</v>
      </c>
      <c r="T50" s="810">
        <f t="shared" ca="1" si="1"/>
        <v>-966</v>
      </c>
      <c r="U50" s="811">
        <v>43416</v>
      </c>
      <c r="V50" s="812" t="s">
        <v>2106</v>
      </c>
      <c r="W50" s="813"/>
      <c r="X50" s="814"/>
      <c r="Y50" s="814"/>
      <c r="Z50" s="814"/>
      <c r="AA50" s="814"/>
      <c r="AB50" s="814"/>
      <c r="AC50" s="815">
        <v>43360</v>
      </c>
      <c r="AD50" s="816">
        <v>42356</v>
      </c>
      <c r="AE50" s="817">
        <f ca="1">TODAY()-DATE(YEAR(AD50)+6,MONTH(AD50),DAY(AD50))</f>
        <v>-166</v>
      </c>
      <c r="AF50" s="805" t="s">
        <v>1763</v>
      </c>
    </row>
    <row r="51" spans="1:32" s="820" customFormat="1" ht="38.25" x14ac:dyDescent="0.2">
      <c r="A51" s="821" t="s">
        <v>1756</v>
      </c>
      <c r="B51" s="805"/>
      <c r="C51" s="805" t="s">
        <v>1757</v>
      </c>
      <c r="D51" s="806" t="s">
        <v>1820</v>
      </c>
      <c r="E51" s="806" t="s">
        <v>1798</v>
      </c>
      <c r="F51" s="807" t="s">
        <v>314</v>
      </c>
      <c r="G51" s="808">
        <v>0</v>
      </c>
      <c r="H51" s="808">
        <v>0</v>
      </c>
      <c r="I51" s="808">
        <v>0</v>
      </c>
      <c r="J51" s="808">
        <v>0</v>
      </c>
      <c r="K51" s="808">
        <v>0</v>
      </c>
      <c r="L51" s="808">
        <v>0</v>
      </c>
      <c r="M51" s="808">
        <v>0</v>
      </c>
      <c r="N51" s="808">
        <v>0</v>
      </c>
      <c r="O51" s="808">
        <v>0</v>
      </c>
      <c r="P51" s="808">
        <v>0</v>
      </c>
      <c r="Q51" s="808">
        <v>0</v>
      </c>
      <c r="R51" s="808">
        <v>0</v>
      </c>
      <c r="S51" s="809">
        <f t="shared" si="4"/>
        <v>0</v>
      </c>
      <c r="T51" s="810">
        <f t="shared" ca="1" si="1"/>
        <v>-966</v>
      </c>
      <c r="U51" s="811">
        <v>43416</v>
      </c>
      <c r="V51" s="812" t="s">
        <v>2106</v>
      </c>
      <c r="W51" s="813"/>
      <c r="X51" s="814"/>
      <c r="Y51" s="814"/>
      <c r="Z51" s="814"/>
      <c r="AA51" s="814"/>
      <c r="AB51" s="814"/>
      <c r="AC51" s="815">
        <v>43360</v>
      </c>
      <c r="AD51" s="816">
        <v>42356</v>
      </c>
      <c r="AE51" s="817">
        <f t="shared" ca="1" si="2"/>
        <v>-166</v>
      </c>
      <c r="AF51" s="805" t="s">
        <v>1763</v>
      </c>
    </row>
    <row r="52" spans="1:32" s="822" customFormat="1" ht="38.25" x14ac:dyDescent="0.2">
      <c r="A52" s="821" t="s">
        <v>1756</v>
      </c>
      <c r="B52" s="805"/>
      <c r="C52" s="805" t="s">
        <v>1757</v>
      </c>
      <c r="D52" s="806" t="s">
        <v>1821</v>
      </c>
      <c r="E52" s="806" t="s">
        <v>1798</v>
      </c>
      <c r="F52" s="807" t="s">
        <v>314</v>
      </c>
      <c r="G52" s="808">
        <v>0</v>
      </c>
      <c r="H52" s="808">
        <v>0</v>
      </c>
      <c r="I52" s="808">
        <v>0</v>
      </c>
      <c r="J52" s="808">
        <v>154.28</v>
      </c>
      <c r="K52" s="808">
        <v>0</v>
      </c>
      <c r="L52" s="808">
        <v>0</v>
      </c>
      <c r="M52" s="808">
        <v>0</v>
      </c>
      <c r="N52" s="808">
        <v>0</v>
      </c>
      <c r="O52" s="808">
        <v>0</v>
      </c>
      <c r="P52" s="808">
        <f>519.14+200</f>
        <v>719.14</v>
      </c>
      <c r="Q52" s="808">
        <v>0</v>
      </c>
      <c r="R52" s="808">
        <v>0</v>
      </c>
      <c r="S52" s="809">
        <f t="shared" si="4"/>
        <v>873.42</v>
      </c>
      <c r="T52" s="810">
        <f t="shared" ca="1" si="1"/>
        <v>-931</v>
      </c>
      <c r="U52" s="811">
        <v>43451</v>
      </c>
      <c r="V52" s="812" t="s">
        <v>2125</v>
      </c>
      <c r="W52" s="813"/>
      <c r="X52" s="814"/>
      <c r="Y52" s="814"/>
      <c r="Z52" s="814"/>
      <c r="AA52" s="814"/>
      <c r="AB52" s="814"/>
      <c r="AC52" s="815">
        <v>43395</v>
      </c>
      <c r="AD52" s="816">
        <v>42356</v>
      </c>
      <c r="AE52" s="817">
        <f t="shared" ca="1" si="2"/>
        <v>-166</v>
      </c>
      <c r="AF52" s="805" t="s">
        <v>1763</v>
      </c>
    </row>
    <row r="53" spans="1:32" s="820" customFormat="1" ht="38.25" x14ac:dyDescent="0.2">
      <c r="A53" s="821" t="s">
        <v>1756</v>
      </c>
      <c r="B53" s="805"/>
      <c r="C53" s="805" t="s">
        <v>1757</v>
      </c>
      <c r="D53" s="806" t="s">
        <v>1827</v>
      </c>
      <c r="E53" s="806" t="s">
        <v>1798</v>
      </c>
      <c r="F53" s="807" t="s">
        <v>314</v>
      </c>
      <c r="G53" s="808">
        <v>0</v>
      </c>
      <c r="H53" s="808">
        <v>0</v>
      </c>
      <c r="I53" s="808">
        <v>0</v>
      </c>
      <c r="J53" s="808">
        <v>0</v>
      </c>
      <c r="K53" s="808">
        <f>345.39+1354.21</f>
        <v>1699.6</v>
      </c>
      <c r="L53" s="808">
        <v>0</v>
      </c>
      <c r="M53" s="808">
        <v>295.91000000000003</v>
      </c>
      <c r="N53" s="808">
        <v>0</v>
      </c>
      <c r="O53" s="808">
        <v>0</v>
      </c>
      <c r="P53" s="808">
        <f>789.09+789.09</f>
        <v>1578.18</v>
      </c>
      <c r="Q53" s="808">
        <v>0</v>
      </c>
      <c r="R53" s="808">
        <v>0</v>
      </c>
      <c r="S53" s="809">
        <f t="shared" si="4"/>
        <v>3573.69</v>
      </c>
      <c r="T53" s="810">
        <f t="shared" ca="1" si="1"/>
        <v>-931</v>
      </c>
      <c r="U53" s="811">
        <v>43451</v>
      </c>
      <c r="V53" s="812" t="s">
        <v>2267</v>
      </c>
      <c r="W53" s="813"/>
      <c r="X53" s="814"/>
      <c r="Y53" s="814"/>
      <c r="Z53" s="814"/>
      <c r="AA53" s="814"/>
      <c r="AB53" s="814"/>
      <c r="AC53" s="815">
        <v>43433</v>
      </c>
      <c r="AD53" s="816">
        <v>42356</v>
      </c>
      <c r="AE53" s="817">
        <f t="shared" ca="1" si="2"/>
        <v>-166</v>
      </c>
      <c r="AF53" s="805" t="s">
        <v>1763</v>
      </c>
    </row>
    <row r="54" spans="1:32" s="822" customFormat="1" ht="38.25" x14ac:dyDescent="0.2">
      <c r="A54" s="821" t="s">
        <v>1756</v>
      </c>
      <c r="B54" s="805"/>
      <c r="C54" s="805" t="s">
        <v>1757</v>
      </c>
      <c r="D54" s="806" t="s">
        <v>1829</v>
      </c>
      <c r="E54" s="806" t="s">
        <v>1798</v>
      </c>
      <c r="F54" s="807" t="s">
        <v>314</v>
      </c>
      <c r="G54" s="808">
        <v>0</v>
      </c>
      <c r="H54" s="808">
        <v>0</v>
      </c>
      <c r="I54" s="808">
        <v>0</v>
      </c>
      <c r="J54" s="808">
        <v>519.38</v>
      </c>
      <c r="K54" s="808">
        <v>0</v>
      </c>
      <c r="L54" s="808">
        <v>0</v>
      </c>
      <c r="M54" s="808">
        <v>0</v>
      </c>
      <c r="N54" s="808">
        <v>0</v>
      </c>
      <c r="O54" s="808">
        <v>0</v>
      </c>
      <c r="P54" s="808">
        <v>0</v>
      </c>
      <c r="Q54" s="808">
        <v>0</v>
      </c>
      <c r="R54" s="808">
        <v>0</v>
      </c>
      <c r="S54" s="809">
        <f t="shared" si="4"/>
        <v>519.38</v>
      </c>
      <c r="T54" s="810">
        <f t="shared" ca="1" si="1"/>
        <v>-931</v>
      </c>
      <c r="U54" s="811">
        <v>43451</v>
      </c>
      <c r="V54" s="812" t="s">
        <v>2135</v>
      </c>
      <c r="W54" s="813"/>
      <c r="X54" s="814"/>
      <c r="Y54" s="814"/>
      <c r="Z54" s="814"/>
      <c r="AA54" s="814"/>
      <c r="AB54" s="814"/>
      <c r="AC54" s="815">
        <v>43395</v>
      </c>
      <c r="AD54" s="816">
        <v>42356</v>
      </c>
      <c r="AE54" s="817">
        <f t="shared" ca="1" si="2"/>
        <v>-166</v>
      </c>
      <c r="AF54" s="805" t="s">
        <v>1763</v>
      </c>
    </row>
    <row r="55" spans="1:32" s="820" customFormat="1" ht="38.25" x14ac:dyDescent="0.2">
      <c r="A55" s="821" t="s">
        <v>1756</v>
      </c>
      <c r="B55" s="805"/>
      <c r="C55" s="805" t="s">
        <v>1757</v>
      </c>
      <c r="D55" s="806" t="s">
        <v>1832</v>
      </c>
      <c r="E55" s="806" t="s">
        <v>1798</v>
      </c>
      <c r="F55" s="807" t="s">
        <v>314</v>
      </c>
      <c r="G55" s="808">
        <v>0</v>
      </c>
      <c r="H55" s="808">
        <v>0</v>
      </c>
      <c r="I55" s="808">
        <v>0</v>
      </c>
      <c r="J55" s="808">
        <v>311.63</v>
      </c>
      <c r="K55" s="808">
        <v>0</v>
      </c>
      <c r="L55" s="808">
        <v>1483.77</v>
      </c>
      <c r="M55" s="808">
        <v>0</v>
      </c>
      <c r="N55" s="808">
        <v>0</v>
      </c>
      <c r="O55" s="808">
        <v>0</v>
      </c>
      <c r="P55" s="808">
        <v>814.56</v>
      </c>
      <c r="Q55" s="808">
        <v>0</v>
      </c>
      <c r="R55" s="808">
        <v>0</v>
      </c>
      <c r="S55" s="809">
        <f t="shared" si="4"/>
        <v>2609.96</v>
      </c>
      <c r="T55" s="810">
        <f t="shared" ca="1" si="1"/>
        <v>-931</v>
      </c>
      <c r="U55" s="811">
        <v>43451</v>
      </c>
      <c r="V55" s="812" t="s">
        <v>2125</v>
      </c>
      <c r="W55" s="813"/>
      <c r="X55" s="814"/>
      <c r="Y55" s="814"/>
      <c r="Z55" s="814"/>
      <c r="AA55" s="814"/>
      <c r="AB55" s="814"/>
      <c r="AC55" s="815">
        <v>43395</v>
      </c>
      <c r="AD55" s="816">
        <v>42356</v>
      </c>
      <c r="AE55" s="817">
        <f t="shared" ca="1" si="2"/>
        <v>-166</v>
      </c>
      <c r="AF55" s="805" t="s">
        <v>1763</v>
      </c>
    </row>
    <row r="56" spans="1:32" s="820" customFormat="1" ht="51" x14ac:dyDescent="0.2">
      <c r="A56" s="821" t="s">
        <v>1756</v>
      </c>
      <c r="B56" s="805"/>
      <c r="C56" s="805" t="s">
        <v>1757</v>
      </c>
      <c r="D56" s="806" t="s">
        <v>1834</v>
      </c>
      <c r="E56" s="806" t="s">
        <v>1798</v>
      </c>
      <c r="F56" s="807" t="s">
        <v>314</v>
      </c>
      <c r="G56" s="808">
        <v>0</v>
      </c>
      <c r="H56" s="808">
        <v>0</v>
      </c>
      <c r="I56" s="808">
        <v>0</v>
      </c>
      <c r="J56" s="808">
        <v>0</v>
      </c>
      <c r="K56" s="808">
        <v>0</v>
      </c>
      <c r="L56" s="808">
        <v>0</v>
      </c>
      <c r="M56" s="808">
        <v>0</v>
      </c>
      <c r="N56" s="808">
        <v>0</v>
      </c>
      <c r="O56" s="808">
        <v>0</v>
      </c>
      <c r="P56" s="808">
        <v>0</v>
      </c>
      <c r="Q56" s="808">
        <v>0</v>
      </c>
      <c r="R56" s="808">
        <v>0</v>
      </c>
      <c r="S56" s="809">
        <f t="shared" si="4"/>
        <v>0</v>
      </c>
      <c r="T56" s="810">
        <f t="shared" ca="1" si="1"/>
        <v>-1152</v>
      </c>
      <c r="U56" s="811">
        <v>43230</v>
      </c>
      <c r="V56" s="812" t="s">
        <v>2051</v>
      </c>
      <c r="W56" s="813"/>
      <c r="X56" s="814"/>
      <c r="Y56" s="814"/>
      <c r="Z56" s="814"/>
      <c r="AA56" s="814"/>
      <c r="AB56" s="814"/>
      <c r="AC56" s="815">
        <v>43172</v>
      </c>
      <c r="AD56" s="816">
        <v>42356</v>
      </c>
      <c r="AE56" s="817">
        <f t="shared" ca="1" si="2"/>
        <v>-166</v>
      </c>
      <c r="AF56" s="805" t="s">
        <v>1763</v>
      </c>
    </row>
    <row r="57" spans="1:32" s="820" customFormat="1" ht="38.25" x14ac:dyDescent="0.2">
      <c r="A57" s="821" t="s">
        <v>1844</v>
      </c>
      <c r="B57" s="805" t="s">
        <v>1845</v>
      </c>
      <c r="C57" s="805" t="s">
        <v>419</v>
      </c>
      <c r="D57" s="806" t="s">
        <v>171</v>
      </c>
      <c r="E57" s="806" t="s">
        <v>1846</v>
      </c>
      <c r="F57" s="807" t="s">
        <v>1847</v>
      </c>
      <c r="G57" s="824">
        <v>2400.2399999999998</v>
      </c>
      <c r="H57" s="824">
        <v>772.52</v>
      </c>
      <c r="I57" s="824">
        <v>1310.52</v>
      </c>
      <c r="J57" s="824">
        <v>746.41</v>
      </c>
      <c r="K57" s="824">
        <v>1279.57</v>
      </c>
      <c r="L57" s="824">
        <v>728.11</v>
      </c>
      <c r="M57" s="824">
        <v>617.35</v>
      </c>
      <c r="N57" s="824">
        <v>1910.67</v>
      </c>
      <c r="O57" s="824">
        <v>1055.24</v>
      </c>
      <c r="P57" s="824">
        <v>731.93</v>
      </c>
      <c r="Q57" s="824">
        <v>822.61</v>
      </c>
      <c r="R57" s="824">
        <v>775.62</v>
      </c>
      <c r="S57" s="809">
        <f t="shared" si="4"/>
        <v>13150.79</v>
      </c>
      <c r="T57" s="810">
        <f t="shared" ca="1" si="1"/>
        <v>-912</v>
      </c>
      <c r="U57" s="811">
        <v>43470</v>
      </c>
      <c r="V57" s="812" t="s">
        <v>2095</v>
      </c>
      <c r="W57" s="813"/>
      <c r="X57" s="814"/>
      <c r="Y57" s="814"/>
      <c r="Z57" s="814"/>
      <c r="AA57" s="814"/>
      <c r="AB57" s="814"/>
      <c r="AC57" s="815">
        <v>43413</v>
      </c>
      <c r="AD57" s="816">
        <v>42374</v>
      </c>
      <c r="AE57" s="817">
        <f t="shared" ca="1" si="2"/>
        <v>-184</v>
      </c>
      <c r="AF57" s="805" t="s">
        <v>54</v>
      </c>
    </row>
    <row r="58" spans="1:32" s="820" customFormat="1" ht="38.25" x14ac:dyDescent="0.2">
      <c r="A58" s="821" t="s">
        <v>1756</v>
      </c>
      <c r="B58" s="805"/>
      <c r="C58" s="805" t="s">
        <v>1757</v>
      </c>
      <c r="D58" s="806" t="s">
        <v>1855</v>
      </c>
      <c r="E58" s="806" t="s">
        <v>1798</v>
      </c>
      <c r="F58" s="807" t="s">
        <v>314</v>
      </c>
      <c r="G58" s="808">
        <v>0</v>
      </c>
      <c r="H58" s="808">
        <v>0</v>
      </c>
      <c r="I58" s="808">
        <v>0</v>
      </c>
      <c r="J58" s="808">
        <v>0</v>
      </c>
      <c r="K58" s="808">
        <v>0</v>
      </c>
      <c r="L58" s="808">
        <v>154.30000000000001</v>
      </c>
      <c r="M58" s="808">
        <v>0</v>
      </c>
      <c r="N58" s="808">
        <v>0</v>
      </c>
      <c r="O58" s="808">
        <v>0</v>
      </c>
      <c r="P58" s="808">
        <f>102.87+207.66</f>
        <v>310.52999999999997</v>
      </c>
      <c r="Q58" s="808">
        <v>0</v>
      </c>
      <c r="R58" s="808">
        <v>0</v>
      </c>
      <c r="S58" s="809">
        <f t="shared" si="4"/>
        <v>464.83</v>
      </c>
      <c r="T58" s="810">
        <f t="shared" ca="1" si="1"/>
        <v>-842</v>
      </c>
      <c r="U58" s="811">
        <v>43540</v>
      </c>
      <c r="V58" s="812" t="s">
        <v>2268</v>
      </c>
      <c r="W58" s="813"/>
      <c r="X58" s="814"/>
      <c r="Y58" s="814"/>
      <c r="Z58" s="814"/>
      <c r="AA58" s="814"/>
      <c r="AB58" s="814"/>
      <c r="AC58" s="815">
        <v>43494</v>
      </c>
      <c r="AD58" s="816">
        <v>42446</v>
      </c>
      <c r="AE58" s="817">
        <f t="shared" ref="AE58:AE108" ca="1" si="5">TODAY()-DATE(YEAR(AD58)+6,MONTH(AD58),DAY(AD58))</f>
        <v>-255</v>
      </c>
      <c r="AF58" s="805" t="s">
        <v>1763</v>
      </c>
    </row>
    <row r="59" spans="1:32" s="820" customFormat="1" ht="51" x14ac:dyDescent="0.2">
      <c r="A59" s="821" t="s">
        <v>1857</v>
      </c>
      <c r="B59" s="805"/>
      <c r="C59" s="805" t="s">
        <v>1858</v>
      </c>
      <c r="D59" s="806" t="s">
        <v>1654</v>
      </c>
      <c r="E59" s="806" t="s">
        <v>1859</v>
      </c>
      <c r="F59" s="807" t="s">
        <v>1861</v>
      </c>
      <c r="G59" s="808">
        <v>924.8</v>
      </c>
      <c r="H59" s="808">
        <v>74106</v>
      </c>
      <c r="I59" s="808">
        <v>0</v>
      </c>
      <c r="J59" s="808">
        <v>0</v>
      </c>
      <c r="K59" s="808">
        <v>0</v>
      </c>
      <c r="L59" s="808">
        <v>0</v>
      </c>
      <c r="M59" s="808">
        <v>0</v>
      </c>
      <c r="N59" s="808">
        <v>0</v>
      </c>
      <c r="O59" s="808">
        <v>0</v>
      </c>
      <c r="P59" s="808">
        <v>0</v>
      </c>
      <c r="Q59" s="808">
        <v>0</v>
      </c>
      <c r="R59" s="808">
        <v>0</v>
      </c>
      <c r="S59" s="809">
        <f t="shared" si="4"/>
        <v>75030.8</v>
      </c>
      <c r="T59" s="810">
        <f t="shared" ca="1" si="1"/>
        <v>-841</v>
      </c>
      <c r="U59" s="811">
        <v>43541</v>
      </c>
      <c r="V59" s="812" t="s">
        <v>1862</v>
      </c>
      <c r="W59" s="813"/>
      <c r="X59" s="814"/>
      <c r="Y59" s="814"/>
      <c r="Z59" s="814"/>
      <c r="AA59" s="814"/>
      <c r="AB59" s="814"/>
      <c r="AC59" s="815">
        <v>43494</v>
      </c>
      <c r="AD59" s="816">
        <v>42447</v>
      </c>
      <c r="AE59" s="817">
        <f t="shared" ca="1" si="5"/>
        <v>-256</v>
      </c>
      <c r="AF59" s="805" t="s">
        <v>41</v>
      </c>
    </row>
    <row r="60" spans="1:32" s="820" customFormat="1" ht="38.25" x14ac:dyDescent="0.2">
      <c r="A60" s="821" t="s">
        <v>1756</v>
      </c>
      <c r="B60" s="805"/>
      <c r="C60" s="805" t="s">
        <v>1757</v>
      </c>
      <c r="D60" s="806" t="s">
        <v>1874</v>
      </c>
      <c r="E60" s="806" t="s">
        <v>1798</v>
      </c>
      <c r="F60" s="807">
        <v>0</v>
      </c>
      <c r="G60" s="808">
        <v>0</v>
      </c>
      <c r="H60" s="808">
        <v>0</v>
      </c>
      <c r="I60" s="808">
        <v>0</v>
      </c>
      <c r="J60" s="808">
        <v>0</v>
      </c>
      <c r="K60" s="808">
        <v>0</v>
      </c>
      <c r="L60" s="808">
        <v>0</v>
      </c>
      <c r="M60" s="808">
        <v>0</v>
      </c>
      <c r="N60" s="808">
        <v>0</v>
      </c>
      <c r="O60" s="808">
        <v>0</v>
      </c>
      <c r="P60" s="808">
        <v>0</v>
      </c>
      <c r="Q60" s="808">
        <v>0</v>
      </c>
      <c r="R60" s="808">
        <v>0</v>
      </c>
      <c r="S60" s="809">
        <f t="shared" si="4"/>
        <v>0</v>
      </c>
      <c r="T60" s="810">
        <f t="shared" ca="1" si="1"/>
        <v>-1152</v>
      </c>
      <c r="U60" s="811">
        <v>43230</v>
      </c>
      <c r="V60" s="812" t="s">
        <v>2051</v>
      </c>
      <c r="W60" s="813"/>
      <c r="X60" s="814"/>
      <c r="Y60" s="814"/>
      <c r="Z60" s="814"/>
      <c r="AA60" s="814"/>
      <c r="AB60" s="814"/>
      <c r="AC60" s="815">
        <v>43172</v>
      </c>
      <c r="AD60" s="816">
        <v>42492</v>
      </c>
      <c r="AE60" s="817">
        <f t="shared" ca="1" si="5"/>
        <v>-301</v>
      </c>
      <c r="AF60" s="805" t="s">
        <v>1763</v>
      </c>
    </row>
    <row r="61" spans="1:32" s="820" customFormat="1" ht="38.25" x14ac:dyDescent="0.2">
      <c r="A61" s="821" t="s">
        <v>1756</v>
      </c>
      <c r="B61" s="805"/>
      <c r="C61" s="805" t="s">
        <v>1757</v>
      </c>
      <c r="D61" s="806" t="s">
        <v>1875</v>
      </c>
      <c r="E61" s="806" t="s">
        <v>1798</v>
      </c>
      <c r="F61" s="807">
        <v>0</v>
      </c>
      <c r="G61" s="808">
        <v>0</v>
      </c>
      <c r="H61" s="808">
        <v>0</v>
      </c>
      <c r="I61" s="808">
        <v>0</v>
      </c>
      <c r="J61" s="808">
        <v>0</v>
      </c>
      <c r="K61" s="808">
        <v>0</v>
      </c>
      <c r="L61" s="808">
        <v>0</v>
      </c>
      <c r="M61" s="808">
        <v>97.74</v>
      </c>
      <c r="N61" s="808">
        <v>0</v>
      </c>
      <c r="O61" s="808">
        <v>0</v>
      </c>
      <c r="P61" s="808">
        <v>0</v>
      </c>
      <c r="Q61" s="808">
        <v>0</v>
      </c>
      <c r="R61" s="808">
        <v>0</v>
      </c>
      <c r="S61" s="809">
        <f t="shared" si="4"/>
        <v>97.74</v>
      </c>
      <c r="T61" s="810">
        <f t="shared" ca="1" si="1"/>
        <v>-794</v>
      </c>
      <c r="U61" s="811">
        <v>43588</v>
      </c>
      <c r="V61" s="812" t="s">
        <v>2149</v>
      </c>
      <c r="W61" s="813"/>
      <c r="X61" s="814"/>
      <c r="Y61" s="814"/>
      <c r="Z61" s="814"/>
      <c r="AA61" s="814"/>
      <c r="AB61" s="814"/>
      <c r="AC61" s="815"/>
      <c r="AD61" s="816">
        <v>42494</v>
      </c>
      <c r="AE61" s="817">
        <f t="shared" ca="1" si="5"/>
        <v>-303</v>
      </c>
      <c r="AF61" s="805" t="s">
        <v>1763</v>
      </c>
    </row>
    <row r="62" spans="1:32" s="820" customFormat="1" ht="38.25" x14ac:dyDescent="0.2">
      <c r="A62" s="821" t="s">
        <v>1756</v>
      </c>
      <c r="B62" s="805"/>
      <c r="C62" s="805" t="s">
        <v>1757</v>
      </c>
      <c r="D62" s="806" t="s">
        <v>1906</v>
      </c>
      <c r="E62" s="806" t="s">
        <v>1798</v>
      </c>
      <c r="F62" s="807">
        <v>0</v>
      </c>
      <c r="G62" s="808">
        <v>0</v>
      </c>
      <c r="H62" s="808">
        <v>0</v>
      </c>
      <c r="I62" s="808">
        <v>0</v>
      </c>
      <c r="J62" s="808">
        <v>0</v>
      </c>
      <c r="K62" s="808">
        <v>0</v>
      </c>
      <c r="L62" s="808">
        <v>0</v>
      </c>
      <c r="M62" s="808">
        <v>0</v>
      </c>
      <c r="N62" s="808">
        <v>0</v>
      </c>
      <c r="O62" s="808">
        <v>0</v>
      </c>
      <c r="P62" s="808">
        <v>0</v>
      </c>
      <c r="Q62" s="808">
        <v>0</v>
      </c>
      <c r="R62" s="808">
        <v>0</v>
      </c>
      <c r="S62" s="809">
        <f t="shared" si="4"/>
        <v>0</v>
      </c>
      <c r="T62" s="810">
        <f t="shared" ca="1" si="1"/>
        <v>-1152</v>
      </c>
      <c r="U62" s="811">
        <v>43230</v>
      </c>
      <c r="V62" s="812" t="s">
        <v>2051</v>
      </c>
      <c r="W62" s="813"/>
      <c r="X62" s="814"/>
      <c r="Y62" s="814"/>
      <c r="Z62" s="814"/>
      <c r="AA62" s="814"/>
      <c r="AB62" s="814"/>
      <c r="AC62" s="815">
        <v>43172</v>
      </c>
      <c r="AD62" s="816">
        <v>42501</v>
      </c>
      <c r="AE62" s="817">
        <f t="shared" ca="1" si="5"/>
        <v>-310</v>
      </c>
      <c r="AF62" s="805" t="s">
        <v>1763</v>
      </c>
    </row>
    <row r="63" spans="1:32" s="820" customFormat="1" ht="35.25" customHeight="1" x14ac:dyDescent="0.2">
      <c r="A63" s="821" t="s">
        <v>1895</v>
      </c>
      <c r="B63" s="805" t="s">
        <v>1896</v>
      </c>
      <c r="C63" s="805" t="s">
        <v>2408</v>
      </c>
      <c r="D63" s="806" t="s">
        <v>1897</v>
      </c>
      <c r="E63" s="806" t="s">
        <v>2035</v>
      </c>
      <c r="F63" s="807">
        <v>7990</v>
      </c>
      <c r="G63" s="808">
        <v>0</v>
      </c>
      <c r="H63" s="808">
        <v>0</v>
      </c>
      <c r="I63" s="808">
        <v>0</v>
      </c>
      <c r="J63" s="808">
        <v>0</v>
      </c>
      <c r="K63" s="808">
        <v>0</v>
      </c>
      <c r="L63" s="808">
        <v>0</v>
      </c>
      <c r="M63" s="808">
        <v>7990</v>
      </c>
      <c r="N63" s="808">
        <v>0</v>
      </c>
      <c r="O63" s="808">
        <v>0</v>
      </c>
      <c r="P63" s="808">
        <v>0</v>
      </c>
      <c r="Q63" s="808">
        <v>0</v>
      </c>
      <c r="R63" s="808">
        <v>0</v>
      </c>
      <c r="S63" s="809">
        <f t="shared" si="4"/>
        <v>7990</v>
      </c>
      <c r="T63" s="810">
        <f t="shared" ca="1" si="1"/>
        <v>-738</v>
      </c>
      <c r="U63" s="811">
        <v>43644</v>
      </c>
      <c r="V63" s="812" t="s">
        <v>2148</v>
      </c>
      <c r="W63" s="813"/>
      <c r="X63" s="814"/>
      <c r="Y63" s="814"/>
      <c r="Z63" s="814"/>
      <c r="AA63" s="814"/>
      <c r="AB63" s="814"/>
      <c r="AC63" s="815"/>
      <c r="AD63" s="816">
        <v>42550</v>
      </c>
      <c r="AE63" s="817">
        <f t="shared" ca="1" si="5"/>
        <v>-359</v>
      </c>
      <c r="AF63" s="805" t="s">
        <v>48</v>
      </c>
    </row>
    <row r="64" spans="1:32" s="820" customFormat="1" ht="51" x14ac:dyDescent="0.2">
      <c r="A64" s="821" t="s">
        <v>1899</v>
      </c>
      <c r="B64" s="805" t="s">
        <v>1896</v>
      </c>
      <c r="C64" s="805" t="s">
        <v>2409</v>
      </c>
      <c r="D64" s="806" t="s">
        <v>1900</v>
      </c>
      <c r="E64" s="806" t="s">
        <v>1901</v>
      </c>
      <c r="F64" s="807">
        <v>6943.59</v>
      </c>
      <c r="G64" s="824">
        <v>231.6</v>
      </c>
      <c r="H64" s="824">
        <v>84</v>
      </c>
      <c r="I64" s="824">
        <v>201.01</v>
      </c>
      <c r="J64" s="824">
        <v>211.66</v>
      </c>
      <c r="K64" s="824">
        <v>337.2</v>
      </c>
      <c r="L64" s="824">
        <v>209.21</v>
      </c>
      <c r="M64" s="824">
        <v>279.08</v>
      </c>
      <c r="N64" s="824">
        <v>259.2</v>
      </c>
      <c r="O64" s="824">
        <v>456</v>
      </c>
      <c r="P64" s="824">
        <v>280.57</v>
      </c>
      <c r="Q64" s="824">
        <v>335.95</v>
      </c>
      <c r="R64" s="824">
        <v>351.95</v>
      </c>
      <c r="S64" s="809">
        <f t="shared" si="4"/>
        <v>3237.43</v>
      </c>
      <c r="T64" s="810">
        <f t="shared" ca="1" si="1"/>
        <v>-718</v>
      </c>
      <c r="U64" s="811">
        <v>43664</v>
      </c>
      <c r="V64" s="812" t="s">
        <v>2220</v>
      </c>
      <c r="W64" s="813"/>
      <c r="X64" s="814"/>
      <c r="Y64" s="814"/>
      <c r="Z64" s="814"/>
      <c r="AA64" s="814"/>
      <c r="AB64" s="814"/>
      <c r="AC64" s="815"/>
      <c r="AD64" s="816">
        <v>42569</v>
      </c>
      <c r="AE64" s="817">
        <f t="shared" ca="1" si="5"/>
        <v>-378</v>
      </c>
      <c r="AF64" s="805" t="s">
        <v>48</v>
      </c>
    </row>
    <row r="65" spans="1:32" s="820" customFormat="1" ht="76.5" x14ac:dyDescent="0.2">
      <c r="A65" s="821" t="s">
        <v>1904</v>
      </c>
      <c r="B65" s="805"/>
      <c r="C65" s="805" t="s">
        <v>1905</v>
      </c>
      <c r="D65" s="806" t="s">
        <v>1906</v>
      </c>
      <c r="E65" s="806" t="s">
        <v>1984</v>
      </c>
      <c r="F65" s="807" t="s">
        <v>1907</v>
      </c>
      <c r="G65" s="824">
        <v>11274.85</v>
      </c>
      <c r="H65" s="824">
        <v>11346.21</v>
      </c>
      <c r="I65" s="824">
        <v>9994.01</v>
      </c>
      <c r="J65" s="824">
        <v>12788.71</v>
      </c>
      <c r="K65" s="824">
        <v>12242.76</v>
      </c>
      <c r="L65" s="824">
        <v>15974.3</v>
      </c>
      <c r="M65" s="824">
        <v>14917.41</v>
      </c>
      <c r="N65" s="824">
        <v>12470.38</v>
      </c>
      <c r="O65" s="824">
        <v>20375.29</v>
      </c>
      <c r="P65" s="824">
        <v>18320.669999999998</v>
      </c>
      <c r="Q65" s="824">
        <v>20235.59</v>
      </c>
      <c r="R65" s="824">
        <v>14059.02</v>
      </c>
      <c r="S65" s="809">
        <f t="shared" si="4"/>
        <v>173999.2</v>
      </c>
      <c r="T65" s="810">
        <f t="shared" ca="1" si="1"/>
        <v>-1073</v>
      </c>
      <c r="U65" s="811">
        <v>43309</v>
      </c>
      <c r="V65" s="812" t="s">
        <v>2053</v>
      </c>
      <c r="W65" s="813"/>
      <c r="X65" s="814"/>
      <c r="Y65" s="814"/>
      <c r="Z65" s="814"/>
      <c r="AA65" s="814"/>
      <c r="AB65" s="814"/>
      <c r="AC65" s="815">
        <v>43262</v>
      </c>
      <c r="AD65" s="816">
        <v>42580</v>
      </c>
      <c r="AE65" s="817">
        <f t="shared" ca="1" si="5"/>
        <v>-389</v>
      </c>
      <c r="AF65" s="805" t="s">
        <v>29</v>
      </c>
    </row>
    <row r="66" spans="1:32" s="820" customFormat="1" ht="38.25" x14ac:dyDescent="0.2">
      <c r="A66" s="821" t="s">
        <v>1756</v>
      </c>
      <c r="B66" s="805"/>
      <c r="C66" s="805" t="s">
        <v>1757</v>
      </c>
      <c r="D66" s="806" t="s">
        <v>2109</v>
      </c>
      <c r="E66" s="806" t="s">
        <v>1798</v>
      </c>
      <c r="F66" s="807">
        <v>0</v>
      </c>
      <c r="G66" s="808">
        <v>0</v>
      </c>
      <c r="H66" s="808">
        <v>493.41</v>
      </c>
      <c r="I66" s="808">
        <v>0</v>
      </c>
      <c r="J66" s="808">
        <v>0</v>
      </c>
      <c r="K66" s="808">
        <f>161.96+1197.83</f>
        <v>1359.79</v>
      </c>
      <c r="L66" s="808">
        <v>146.61000000000001</v>
      </c>
      <c r="M66" s="808">
        <v>0</v>
      </c>
      <c r="N66" s="808">
        <v>0</v>
      </c>
      <c r="O66" s="808">
        <v>0</v>
      </c>
      <c r="P66" s="808">
        <v>778.18</v>
      </c>
      <c r="Q66" s="808">
        <f>234.54+234.54</f>
        <v>469.08</v>
      </c>
      <c r="R66" s="808">
        <v>0</v>
      </c>
      <c r="S66" s="809">
        <f t="shared" si="4"/>
        <v>3247.0699999999997</v>
      </c>
      <c r="T66" s="810">
        <f t="shared" ca="1" si="1"/>
        <v>-683</v>
      </c>
      <c r="U66" s="811">
        <v>43699</v>
      </c>
      <c r="V66" s="812" t="s">
        <v>2232</v>
      </c>
      <c r="W66" s="813"/>
      <c r="X66" s="814"/>
      <c r="Y66" s="814"/>
      <c r="Z66" s="814"/>
      <c r="AA66" s="814"/>
      <c r="AB66" s="814"/>
      <c r="AC66" s="815"/>
      <c r="AD66" s="816">
        <v>42605</v>
      </c>
      <c r="AE66" s="817">
        <f t="shared" ca="1" si="5"/>
        <v>-414</v>
      </c>
      <c r="AF66" s="805" t="s">
        <v>1988</v>
      </c>
    </row>
    <row r="67" spans="1:32" s="820" customFormat="1" ht="38.25" x14ac:dyDescent="0.2">
      <c r="A67" s="821" t="s">
        <v>1916</v>
      </c>
      <c r="B67" s="805"/>
      <c r="C67" s="805" t="s">
        <v>1917</v>
      </c>
      <c r="D67" s="806" t="s">
        <v>1918</v>
      </c>
      <c r="E67" s="806" t="s">
        <v>1919</v>
      </c>
      <c r="F67" s="807">
        <v>0</v>
      </c>
      <c r="G67" s="808">
        <v>0</v>
      </c>
      <c r="H67" s="808">
        <v>0</v>
      </c>
      <c r="I67" s="808">
        <v>0</v>
      </c>
      <c r="J67" s="808">
        <v>0</v>
      </c>
      <c r="K67" s="808">
        <v>0</v>
      </c>
      <c r="L67" s="808">
        <v>0</v>
      </c>
      <c r="M67" s="808">
        <v>0</v>
      </c>
      <c r="N67" s="808">
        <v>0</v>
      </c>
      <c r="O67" s="808">
        <v>1280.8599999999999</v>
      </c>
      <c r="P67" s="808">
        <v>0</v>
      </c>
      <c r="Q67" s="808">
        <v>3776</v>
      </c>
      <c r="R67" s="808">
        <v>0</v>
      </c>
      <c r="S67" s="809">
        <f t="shared" si="4"/>
        <v>5056.8599999999997</v>
      </c>
      <c r="T67" s="810">
        <f t="shared" ca="1" si="1"/>
        <v>-683</v>
      </c>
      <c r="U67" s="811">
        <v>43699</v>
      </c>
      <c r="V67" s="812" t="s">
        <v>2229</v>
      </c>
      <c r="W67" s="813"/>
      <c r="X67" s="814"/>
      <c r="Y67" s="814"/>
      <c r="Z67" s="814"/>
      <c r="AA67" s="814"/>
      <c r="AB67" s="814"/>
      <c r="AC67" s="815"/>
      <c r="AD67" s="816">
        <v>42605</v>
      </c>
      <c r="AE67" s="817">
        <f t="shared" ca="1" si="5"/>
        <v>-414</v>
      </c>
      <c r="AF67" s="805"/>
    </row>
    <row r="68" spans="1:32" s="820" customFormat="1" ht="38.25" x14ac:dyDescent="0.2">
      <c r="A68" s="821" t="s">
        <v>1916</v>
      </c>
      <c r="B68" s="805"/>
      <c r="C68" s="805" t="s">
        <v>1917</v>
      </c>
      <c r="D68" s="806" t="s">
        <v>1920</v>
      </c>
      <c r="E68" s="806" t="s">
        <v>1919</v>
      </c>
      <c r="F68" s="807">
        <v>0</v>
      </c>
      <c r="G68" s="808">
        <v>0</v>
      </c>
      <c r="H68" s="808">
        <v>0</v>
      </c>
      <c r="I68" s="808">
        <v>530</v>
      </c>
      <c r="J68" s="808">
        <v>0</v>
      </c>
      <c r="K68" s="808">
        <v>0</v>
      </c>
      <c r="L68" s="808">
        <v>0</v>
      </c>
      <c r="M68" s="808">
        <v>0</v>
      </c>
      <c r="N68" s="808">
        <v>0</v>
      </c>
      <c r="O68" s="808">
        <v>0</v>
      </c>
      <c r="P68" s="808">
        <v>0</v>
      </c>
      <c r="Q68" s="808">
        <v>0</v>
      </c>
      <c r="R68" s="808">
        <v>0</v>
      </c>
      <c r="S68" s="809">
        <f t="shared" si="4"/>
        <v>530</v>
      </c>
      <c r="T68" s="810">
        <f t="shared" ca="1" si="1"/>
        <v>-1048</v>
      </c>
      <c r="U68" s="811">
        <v>43334</v>
      </c>
      <c r="V68" s="812" t="s">
        <v>2100</v>
      </c>
      <c r="W68" s="813"/>
      <c r="X68" s="814"/>
      <c r="Y68" s="814"/>
      <c r="Z68" s="814"/>
      <c r="AA68" s="814"/>
      <c r="AB68" s="814"/>
      <c r="AC68" s="815">
        <v>43276</v>
      </c>
      <c r="AD68" s="816">
        <v>42605</v>
      </c>
      <c r="AE68" s="817">
        <f t="shared" ca="1" si="5"/>
        <v>-414</v>
      </c>
      <c r="AF68" s="805"/>
    </row>
    <row r="69" spans="1:32" s="820" customFormat="1" ht="38.25" x14ac:dyDescent="0.2">
      <c r="A69" s="821" t="s">
        <v>1916</v>
      </c>
      <c r="B69" s="805"/>
      <c r="C69" s="805" t="s">
        <v>1917</v>
      </c>
      <c r="D69" s="806" t="s">
        <v>1921</v>
      </c>
      <c r="E69" s="806" t="s">
        <v>1919</v>
      </c>
      <c r="F69" s="807">
        <v>0</v>
      </c>
      <c r="G69" s="808">
        <v>0</v>
      </c>
      <c r="H69" s="808">
        <v>0</v>
      </c>
      <c r="I69" s="808">
        <v>0</v>
      </c>
      <c r="J69" s="808">
        <v>0</v>
      </c>
      <c r="K69" s="808">
        <v>1383</v>
      </c>
      <c r="L69" s="808">
        <v>0</v>
      </c>
      <c r="M69" s="808">
        <v>0</v>
      </c>
      <c r="N69" s="808">
        <v>0</v>
      </c>
      <c r="O69" s="808">
        <v>0</v>
      </c>
      <c r="P69" s="808">
        <v>0</v>
      </c>
      <c r="Q69" s="808">
        <v>0</v>
      </c>
      <c r="R69" s="808">
        <v>0</v>
      </c>
      <c r="S69" s="809">
        <f t="shared" si="4"/>
        <v>1383</v>
      </c>
      <c r="T69" s="810">
        <f t="shared" ca="1" si="1"/>
        <v>-683</v>
      </c>
      <c r="U69" s="811">
        <v>43699</v>
      </c>
      <c r="V69" s="812" t="s">
        <v>2227</v>
      </c>
      <c r="W69" s="813"/>
      <c r="X69" s="814"/>
      <c r="Y69" s="814"/>
      <c r="Z69" s="814"/>
      <c r="AA69" s="814"/>
      <c r="AB69" s="814"/>
      <c r="AC69" s="815"/>
      <c r="AD69" s="816">
        <v>42605</v>
      </c>
      <c r="AE69" s="817">
        <f t="shared" ca="1" si="5"/>
        <v>-414</v>
      </c>
      <c r="AF69" s="805"/>
    </row>
    <row r="70" spans="1:32" s="820" customFormat="1" ht="38.25" x14ac:dyDescent="0.2">
      <c r="A70" s="821" t="s">
        <v>1916</v>
      </c>
      <c r="B70" s="805"/>
      <c r="C70" s="805" t="s">
        <v>1917</v>
      </c>
      <c r="D70" s="806" t="s">
        <v>1922</v>
      </c>
      <c r="E70" s="806" t="s">
        <v>1919</v>
      </c>
      <c r="F70" s="807">
        <v>0</v>
      </c>
      <c r="G70" s="808">
        <v>0</v>
      </c>
      <c r="H70" s="808">
        <v>0</v>
      </c>
      <c r="I70" s="808">
        <v>0</v>
      </c>
      <c r="J70" s="808">
        <v>0</v>
      </c>
      <c r="K70" s="808">
        <v>0</v>
      </c>
      <c r="L70" s="808">
        <v>0</v>
      </c>
      <c r="M70" s="808">
        <v>0</v>
      </c>
      <c r="N70" s="808">
        <v>500</v>
      </c>
      <c r="O70" s="808">
        <v>0</v>
      </c>
      <c r="P70" s="808">
        <v>0</v>
      </c>
      <c r="Q70" s="808">
        <v>0</v>
      </c>
      <c r="R70" s="808">
        <v>0</v>
      </c>
      <c r="S70" s="809">
        <f t="shared" si="4"/>
        <v>500</v>
      </c>
      <c r="T70" s="810">
        <f t="shared" ca="1" si="1"/>
        <v>-1048</v>
      </c>
      <c r="U70" s="811">
        <v>43334</v>
      </c>
      <c r="V70" s="812" t="s">
        <v>2100</v>
      </c>
      <c r="W70" s="813"/>
      <c r="X70" s="814"/>
      <c r="Y70" s="814"/>
      <c r="Z70" s="814"/>
      <c r="AA70" s="814"/>
      <c r="AB70" s="814"/>
      <c r="AC70" s="815">
        <v>43276</v>
      </c>
      <c r="AD70" s="816">
        <v>42605</v>
      </c>
      <c r="AE70" s="817">
        <f t="shared" ca="1" si="5"/>
        <v>-414</v>
      </c>
      <c r="AF70" s="805"/>
    </row>
    <row r="71" spans="1:32" s="820" customFormat="1" ht="38.25" x14ac:dyDescent="0.2">
      <c r="A71" s="821" t="s">
        <v>1916</v>
      </c>
      <c r="B71" s="805"/>
      <c r="C71" s="805" t="s">
        <v>1917</v>
      </c>
      <c r="D71" s="806" t="s">
        <v>1923</v>
      </c>
      <c r="E71" s="806" t="s">
        <v>1919</v>
      </c>
      <c r="F71" s="807">
        <v>0</v>
      </c>
      <c r="G71" s="808">
        <v>0</v>
      </c>
      <c r="H71" s="808">
        <v>0</v>
      </c>
      <c r="I71" s="808">
        <v>0</v>
      </c>
      <c r="J71" s="808">
        <v>0</v>
      </c>
      <c r="K71" s="808">
        <v>0</v>
      </c>
      <c r="L71" s="808">
        <v>0</v>
      </c>
      <c r="M71" s="808">
        <v>382.94</v>
      </c>
      <c r="N71" s="808">
        <v>0</v>
      </c>
      <c r="O71" s="808">
        <v>0</v>
      </c>
      <c r="P71" s="808">
        <v>0</v>
      </c>
      <c r="Q71" s="808">
        <v>0</v>
      </c>
      <c r="R71" s="808">
        <v>0</v>
      </c>
      <c r="S71" s="809">
        <f t="shared" si="4"/>
        <v>382.94</v>
      </c>
      <c r="T71" s="810">
        <f t="shared" ca="1" si="1"/>
        <v>-1048</v>
      </c>
      <c r="U71" s="811">
        <v>43334</v>
      </c>
      <c r="V71" s="812" t="s">
        <v>2100</v>
      </c>
      <c r="W71" s="813"/>
      <c r="X71" s="814"/>
      <c r="Y71" s="814"/>
      <c r="Z71" s="814"/>
      <c r="AA71" s="814"/>
      <c r="AB71" s="814"/>
      <c r="AC71" s="815">
        <v>43276</v>
      </c>
      <c r="AD71" s="816">
        <v>42605</v>
      </c>
      <c r="AE71" s="817">
        <f t="shared" ca="1" si="5"/>
        <v>-414</v>
      </c>
      <c r="AF71" s="805"/>
    </row>
    <row r="72" spans="1:32" s="820" customFormat="1" ht="38.25" x14ac:dyDescent="0.2">
      <c r="A72" s="821" t="s">
        <v>1916</v>
      </c>
      <c r="B72" s="805"/>
      <c r="C72" s="805" t="s">
        <v>1917</v>
      </c>
      <c r="D72" s="806" t="s">
        <v>1924</v>
      </c>
      <c r="E72" s="806" t="s">
        <v>1919</v>
      </c>
      <c r="F72" s="807">
        <v>0</v>
      </c>
      <c r="G72" s="808">
        <v>0</v>
      </c>
      <c r="H72" s="808">
        <v>0</v>
      </c>
      <c r="I72" s="808">
        <v>0</v>
      </c>
      <c r="J72" s="808">
        <v>6000</v>
      </c>
      <c r="K72" s="808">
        <v>2252</v>
      </c>
      <c r="L72" s="808">
        <v>0</v>
      </c>
      <c r="M72" s="808">
        <v>9000</v>
      </c>
      <c r="N72" s="808">
        <v>550</v>
      </c>
      <c r="O72" s="808">
        <v>0</v>
      </c>
      <c r="P72" s="808">
        <v>0</v>
      </c>
      <c r="Q72" s="808">
        <v>10000</v>
      </c>
      <c r="R72" s="808">
        <v>0</v>
      </c>
      <c r="S72" s="809">
        <f t="shared" si="4"/>
        <v>27802</v>
      </c>
      <c r="T72" s="810">
        <f t="shared" ca="1" si="1"/>
        <v>-683</v>
      </c>
      <c r="U72" s="811">
        <v>43699</v>
      </c>
      <c r="V72" s="812" t="s">
        <v>2228</v>
      </c>
      <c r="W72" s="813"/>
      <c r="X72" s="814"/>
      <c r="Y72" s="814"/>
      <c r="Z72" s="814"/>
      <c r="AA72" s="814"/>
      <c r="AB72" s="814"/>
      <c r="AC72" s="815"/>
      <c r="AD72" s="816">
        <v>42605</v>
      </c>
      <c r="AE72" s="817">
        <f t="shared" ca="1" si="5"/>
        <v>-414</v>
      </c>
      <c r="AF72" s="805"/>
    </row>
    <row r="73" spans="1:32" s="820" customFormat="1" ht="38.25" x14ac:dyDescent="0.2">
      <c r="A73" s="821" t="s">
        <v>1916</v>
      </c>
      <c r="B73" s="805"/>
      <c r="C73" s="805" t="s">
        <v>1917</v>
      </c>
      <c r="D73" s="806" t="s">
        <v>1925</v>
      </c>
      <c r="E73" s="806" t="s">
        <v>1919</v>
      </c>
      <c r="F73" s="807">
        <v>0</v>
      </c>
      <c r="G73" s="808">
        <v>0</v>
      </c>
      <c r="H73" s="808">
        <v>0</v>
      </c>
      <c r="I73" s="808">
        <v>0</v>
      </c>
      <c r="J73" s="808">
        <v>2449</v>
      </c>
      <c r="K73" s="808">
        <v>0</v>
      </c>
      <c r="L73" s="808">
        <v>0</v>
      </c>
      <c r="M73" s="808">
        <v>0</v>
      </c>
      <c r="N73" s="808">
        <v>0</v>
      </c>
      <c r="O73" s="808">
        <v>0</v>
      </c>
      <c r="P73" s="808">
        <v>0</v>
      </c>
      <c r="Q73" s="808">
        <v>0</v>
      </c>
      <c r="R73" s="808">
        <v>0</v>
      </c>
      <c r="S73" s="809">
        <f t="shared" si="4"/>
        <v>2449</v>
      </c>
      <c r="T73" s="810">
        <f t="shared" ca="1" si="1"/>
        <v>-1048</v>
      </c>
      <c r="U73" s="811">
        <v>43334</v>
      </c>
      <c r="V73" s="812" t="s">
        <v>2100</v>
      </c>
      <c r="W73" s="813"/>
      <c r="X73" s="814"/>
      <c r="Y73" s="814"/>
      <c r="Z73" s="814"/>
      <c r="AA73" s="814"/>
      <c r="AB73" s="814"/>
      <c r="AC73" s="815">
        <v>43276</v>
      </c>
      <c r="AD73" s="816">
        <v>42605</v>
      </c>
      <c r="AE73" s="817">
        <f t="shared" ca="1" si="5"/>
        <v>-414</v>
      </c>
      <c r="AF73" s="805"/>
    </row>
    <row r="74" spans="1:32" s="820" customFormat="1" ht="38.25" x14ac:dyDescent="0.2">
      <c r="A74" s="821" t="s">
        <v>1916</v>
      </c>
      <c r="B74" s="805"/>
      <c r="C74" s="805" t="s">
        <v>1917</v>
      </c>
      <c r="D74" s="806" t="s">
        <v>1926</v>
      </c>
      <c r="E74" s="806" t="s">
        <v>1919</v>
      </c>
      <c r="F74" s="807">
        <v>0</v>
      </c>
      <c r="G74" s="808">
        <v>0</v>
      </c>
      <c r="H74" s="808">
        <v>0</v>
      </c>
      <c r="I74" s="808">
        <v>0</v>
      </c>
      <c r="J74" s="808">
        <v>0</v>
      </c>
      <c r="K74" s="808">
        <v>0</v>
      </c>
      <c r="L74" s="808">
        <v>0</v>
      </c>
      <c r="M74" s="808">
        <v>0</v>
      </c>
      <c r="N74" s="808">
        <v>0</v>
      </c>
      <c r="O74" s="808">
        <v>0</v>
      </c>
      <c r="P74" s="808">
        <v>0</v>
      </c>
      <c r="Q74" s="808">
        <v>0</v>
      </c>
      <c r="R74" s="808">
        <v>0</v>
      </c>
      <c r="S74" s="809">
        <f t="shared" si="4"/>
        <v>0</v>
      </c>
      <c r="T74" s="810">
        <f t="shared" ca="1" si="1"/>
        <v>-683</v>
      </c>
      <c r="U74" s="811">
        <v>43699</v>
      </c>
      <c r="V74" s="812" t="s">
        <v>2227</v>
      </c>
      <c r="W74" s="813"/>
      <c r="X74" s="814"/>
      <c r="Y74" s="814"/>
      <c r="Z74" s="814"/>
      <c r="AA74" s="814"/>
      <c r="AB74" s="814"/>
      <c r="AC74" s="815"/>
      <c r="AD74" s="816">
        <v>42605</v>
      </c>
      <c r="AE74" s="817">
        <f t="shared" ca="1" si="5"/>
        <v>-414</v>
      </c>
      <c r="AF74" s="805"/>
    </row>
    <row r="75" spans="1:32" s="820" customFormat="1" ht="38.25" x14ac:dyDescent="0.2">
      <c r="A75" s="821" t="s">
        <v>1916</v>
      </c>
      <c r="B75" s="805"/>
      <c r="C75" s="805" t="s">
        <v>1917</v>
      </c>
      <c r="D75" s="806" t="s">
        <v>1927</v>
      </c>
      <c r="E75" s="806" t="s">
        <v>1919</v>
      </c>
      <c r="F75" s="807">
        <v>0</v>
      </c>
      <c r="G75" s="808">
        <v>0</v>
      </c>
      <c r="H75" s="808">
        <v>0</v>
      </c>
      <c r="I75" s="808">
        <v>0</v>
      </c>
      <c r="J75" s="808">
        <v>0</v>
      </c>
      <c r="K75" s="808">
        <v>0</v>
      </c>
      <c r="L75" s="808">
        <v>0</v>
      </c>
      <c r="M75" s="808">
        <v>0</v>
      </c>
      <c r="N75" s="808">
        <v>0</v>
      </c>
      <c r="O75" s="808">
        <v>0</v>
      </c>
      <c r="P75" s="808">
        <v>0</v>
      </c>
      <c r="Q75" s="808">
        <v>0</v>
      </c>
      <c r="R75" s="808">
        <v>0</v>
      </c>
      <c r="S75" s="809">
        <f t="shared" si="4"/>
        <v>0</v>
      </c>
      <c r="T75" s="810">
        <f t="shared" ca="1" si="1"/>
        <v>-1048</v>
      </c>
      <c r="U75" s="811">
        <v>43334</v>
      </c>
      <c r="V75" s="812" t="s">
        <v>2100</v>
      </c>
      <c r="W75" s="813"/>
      <c r="X75" s="814"/>
      <c r="Y75" s="814"/>
      <c r="Z75" s="814"/>
      <c r="AA75" s="814"/>
      <c r="AB75" s="814"/>
      <c r="AC75" s="815">
        <v>43276</v>
      </c>
      <c r="AD75" s="816">
        <v>42605</v>
      </c>
      <c r="AE75" s="817">
        <f t="shared" ca="1" si="5"/>
        <v>-414</v>
      </c>
      <c r="AF75" s="805"/>
    </row>
    <row r="76" spans="1:32" s="820" customFormat="1" ht="38.25" x14ac:dyDescent="0.2">
      <c r="A76" s="821" t="s">
        <v>1916</v>
      </c>
      <c r="B76" s="805"/>
      <c r="C76" s="805" t="s">
        <v>1917</v>
      </c>
      <c r="D76" s="806" t="s">
        <v>1928</v>
      </c>
      <c r="E76" s="806" t="s">
        <v>1919</v>
      </c>
      <c r="F76" s="807">
        <v>0</v>
      </c>
      <c r="G76" s="808">
        <v>0</v>
      </c>
      <c r="H76" s="808">
        <v>0</v>
      </c>
      <c r="I76" s="808">
        <v>0</v>
      </c>
      <c r="J76" s="808">
        <v>1750</v>
      </c>
      <c r="K76" s="808">
        <v>0</v>
      </c>
      <c r="L76" s="808">
        <v>0</v>
      </c>
      <c r="M76" s="808">
        <v>0</v>
      </c>
      <c r="N76" s="808">
        <v>0</v>
      </c>
      <c r="O76" s="808">
        <v>0</v>
      </c>
      <c r="P76" s="808">
        <v>0</v>
      </c>
      <c r="Q76" s="808">
        <v>843</v>
      </c>
      <c r="R76" s="808">
        <v>0</v>
      </c>
      <c r="S76" s="809">
        <f t="shared" si="4"/>
        <v>2593</v>
      </c>
      <c r="T76" s="810">
        <f t="shared" ref="T76:T139" ca="1" si="6">U76-$AE$3</f>
        <v>-683</v>
      </c>
      <c r="U76" s="811">
        <v>43699</v>
      </c>
      <c r="V76" s="812" t="s">
        <v>2227</v>
      </c>
      <c r="W76" s="813"/>
      <c r="X76" s="814"/>
      <c r="Y76" s="814"/>
      <c r="Z76" s="814"/>
      <c r="AA76" s="814"/>
      <c r="AB76" s="814"/>
      <c r="AC76" s="815"/>
      <c r="AD76" s="816">
        <v>42605</v>
      </c>
      <c r="AE76" s="817">
        <f t="shared" ca="1" si="5"/>
        <v>-414</v>
      </c>
      <c r="AF76" s="805"/>
    </row>
    <row r="77" spans="1:32" s="820" customFormat="1" ht="38.25" x14ac:dyDescent="0.2">
      <c r="A77" s="821" t="s">
        <v>1916</v>
      </c>
      <c r="B77" s="805"/>
      <c r="C77" s="805" t="s">
        <v>1917</v>
      </c>
      <c r="D77" s="806" t="s">
        <v>1929</v>
      </c>
      <c r="E77" s="806" t="s">
        <v>1919</v>
      </c>
      <c r="F77" s="807">
        <v>0</v>
      </c>
      <c r="G77" s="808">
        <v>0</v>
      </c>
      <c r="H77" s="808">
        <v>0</v>
      </c>
      <c r="I77" s="808">
        <v>0</v>
      </c>
      <c r="J77" s="808">
        <v>0</v>
      </c>
      <c r="K77" s="808">
        <v>0</v>
      </c>
      <c r="L77" s="808">
        <v>0</v>
      </c>
      <c r="M77" s="808">
        <v>0</v>
      </c>
      <c r="N77" s="808">
        <v>0</v>
      </c>
      <c r="O77" s="808">
        <v>0</v>
      </c>
      <c r="P77" s="808">
        <v>0</v>
      </c>
      <c r="Q77" s="808">
        <v>0</v>
      </c>
      <c r="R77" s="808">
        <v>0</v>
      </c>
      <c r="S77" s="809">
        <f t="shared" si="4"/>
        <v>0</v>
      </c>
      <c r="T77" s="810">
        <f t="shared" ca="1" si="6"/>
        <v>-1048</v>
      </c>
      <c r="U77" s="811">
        <v>43334</v>
      </c>
      <c r="V77" s="812" t="s">
        <v>2100</v>
      </c>
      <c r="W77" s="813"/>
      <c r="X77" s="814"/>
      <c r="Y77" s="814"/>
      <c r="Z77" s="814"/>
      <c r="AA77" s="814"/>
      <c r="AB77" s="814"/>
      <c r="AC77" s="815">
        <v>43276</v>
      </c>
      <c r="AD77" s="816">
        <v>42605</v>
      </c>
      <c r="AE77" s="817">
        <f t="shared" ca="1" si="5"/>
        <v>-414</v>
      </c>
      <c r="AF77" s="805"/>
    </row>
    <row r="78" spans="1:32" s="820" customFormat="1" ht="38.25" x14ac:dyDescent="0.2">
      <c r="A78" s="821" t="s">
        <v>1916</v>
      </c>
      <c r="B78" s="805"/>
      <c r="C78" s="805" t="s">
        <v>1917</v>
      </c>
      <c r="D78" s="806" t="s">
        <v>1930</v>
      </c>
      <c r="E78" s="806" t="s">
        <v>1919</v>
      </c>
      <c r="F78" s="807">
        <v>0</v>
      </c>
      <c r="G78" s="808">
        <v>0</v>
      </c>
      <c r="H78" s="808">
        <v>0</v>
      </c>
      <c r="I78" s="808">
        <v>0</v>
      </c>
      <c r="J78" s="808">
        <v>0</v>
      </c>
      <c r="K78" s="808">
        <v>0</v>
      </c>
      <c r="L78" s="808">
        <v>0</v>
      </c>
      <c r="M78" s="808">
        <v>1082.94</v>
      </c>
      <c r="N78" s="808">
        <v>1582.94</v>
      </c>
      <c r="O78" s="808">
        <v>0</v>
      </c>
      <c r="P78" s="808">
        <v>0</v>
      </c>
      <c r="Q78" s="808">
        <v>0</v>
      </c>
      <c r="R78" s="808">
        <v>0</v>
      </c>
      <c r="S78" s="809">
        <f t="shared" si="4"/>
        <v>2665.88</v>
      </c>
      <c r="T78" s="810">
        <f t="shared" ca="1" si="6"/>
        <v>-1048</v>
      </c>
      <c r="U78" s="811">
        <v>43334</v>
      </c>
      <c r="V78" s="812" t="s">
        <v>2100</v>
      </c>
      <c r="W78" s="813"/>
      <c r="X78" s="814"/>
      <c r="Y78" s="814"/>
      <c r="Z78" s="814"/>
      <c r="AA78" s="814"/>
      <c r="AB78" s="814"/>
      <c r="AC78" s="815">
        <v>43276</v>
      </c>
      <c r="AD78" s="816">
        <v>42605</v>
      </c>
      <c r="AE78" s="817">
        <f t="shared" ca="1" si="5"/>
        <v>-414</v>
      </c>
      <c r="AF78" s="805"/>
    </row>
    <row r="79" spans="1:32" s="820" customFormat="1" ht="38.25" x14ac:dyDescent="0.2">
      <c r="A79" s="821" t="s">
        <v>1916</v>
      </c>
      <c r="B79" s="805"/>
      <c r="C79" s="805" t="s">
        <v>1917</v>
      </c>
      <c r="D79" s="806" t="s">
        <v>1931</v>
      </c>
      <c r="E79" s="806" t="s">
        <v>1919</v>
      </c>
      <c r="F79" s="807">
        <v>0</v>
      </c>
      <c r="G79" s="808">
        <v>0</v>
      </c>
      <c r="H79" s="808">
        <v>0</v>
      </c>
      <c r="I79" s="808">
        <v>0</v>
      </c>
      <c r="J79" s="808">
        <v>0</v>
      </c>
      <c r="K79" s="808">
        <v>0</v>
      </c>
      <c r="L79" s="808">
        <v>2084</v>
      </c>
      <c r="M79" s="808">
        <v>0</v>
      </c>
      <c r="N79" s="808">
        <v>0</v>
      </c>
      <c r="O79" s="808">
        <v>0</v>
      </c>
      <c r="P79" s="808">
        <v>0</v>
      </c>
      <c r="Q79" s="808">
        <v>1585</v>
      </c>
      <c r="R79" s="808">
        <v>0</v>
      </c>
      <c r="S79" s="809">
        <f t="shared" si="4"/>
        <v>3669</v>
      </c>
      <c r="T79" s="810">
        <f t="shared" ca="1" si="6"/>
        <v>-683</v>
      </c>
      <c r="U79" s="811">
        <v>43699</v>
      </c>
      <c r="V79" s="812" t="s">
        <v>2228</v>
      </c>
      <c r="W79" s="813"/>
      <c r="X79" s="814"/>
      <c r="Y79" s="814"/>
      <c r="Z79" s="814"/>
      <c r="AA79" s="814"/>
      <c r="AB79" s="814"/>
      <c r="AC79" s="815"/>
      <c r="AD79" s="816">
        <v>42605</v>
      </c>
      <c r="AE79" s="817">
        <f t="shared" ca="1" si="5"/>
        <v>-414</v>
      </c>
      <c r="AF79" s="805"/>
    </row>
    <row r="80" spans="1:32" s="820" customFormat="1" ht="25.5" x14ac:dyDescent="0.2">
      <c r="A80" s="821" t="s">
        <v>1756</v>
      </c>
      <c r="B80" s="805"/>
      <c r="C80" s="805" t="s">
        <v>1932</v>
      </c>
      <c r="D80" s="806" t="s">
        <v>1933</v>
      </c>
      <c r="E80" s="806" t="s">
        <v>1798</v>
      </c>
      <c r="F80" s="807">
        <v>0</v>
      </c>
      <c r="G80" s="808">
        <v>0</v>
      </c>
      <c r="H80" s="808">
        <v>0</v>
      </c>
      <c r="I80" s="808">
        <v>0</v>
      </c>
      <c r="J80" s="808">
        <v>0</v>
      </c>
      <c r="K80" s="808">
        <v>0</v>
      </c>
      <c r="L80" s="808">
        <v>0</v>
      </c>
      <c r="M80" s="808">
        <v>0</v>
      </c>
      <c r="N80" s="808">
        <v>0</v>
      </c>
      <c r="O80" s="808">
        <v>0</v>
      </c>
      <c r="P80" s="808">
        <v>0</v>
      </c>
      <c r="Q80" s="808">
        <v>0</v>
      </c>
      <c r="R80" s="808">
        <v>0</v>
      </c>
      <c r="S80" s="809">
        <f t="shared" si="4"/>
        <v>0</v>
      </c>
      <c r="T80" s="810">
        <f t="shared" ca="1" si="6"/>
        <v>-1413</v>
      </c>
      <c r="U80" s="811">
        <v>42969</v>
      </c>
      <c r="V80" s="812" t="s">
        <v>1914</v>
      </c>
      <c r="W80" s="813"/>
      <c r="X80" s="814"/>
      <c r="Y80" s="814"/>
      <c r="Z80" s="814"/>
      <c r="AA80" s="814"/>
      <c r="AB80" s="814"/>
      <c r="AC80" s="815">
        <v>42913</v>
      </c>
      <c r="AD80" s="816">
        <v>42605</v>
      </c>
      <c r="AE80" s="817">
        <f t="shared" ca="1" si="5"/>
        <v>-414</v>
      </c>
      <c r="AF80" s="805" t="s">
        <v>1763</v>
      </c>
    </row>
    <row r="81" spans="1:32" s="820" customFormat="1" ht="38.25" customHeight="1" x14ac:dyDescent="0.2">
      <c r="A81" s="821" t="s">
        <v>1935</v>
      </c>
      <c r="B81" s="805"/>
      <c r="C81" s="805" t="s">
        <v>1936</v>
      </c>
      <c r="D81" s="806" t="s">
        <v>1937</v>
      </c>
      <c r="E81" s="806" t="s">
        <v>1938</v>
      </c>
      <c r="F81" s="807">
        <v>0</v>
      </c>
      <c r="G81" s="833">
        <v>0</v>
      </c>
      <c r="H81" s="834">
        <v>0</v>
      </c>
      <c r="I81" s="834">
        <v>0</v>
      </c>
      <c r="J81" s="834">
        <v>0</v>
      </c>
      <c r="K81" s="808">
        <v>0</v>
      </c>
      <c r="L81" s="808">
        <v>0</v>
      </c>
      <c r="M81" s="808">
        <v>0</v>
      </c>
      <c r="N81" s="808">
        <v>0</v>
      </c>
      <c r="O81" s="808">
        <v>0</v>
      </c>
      <c r="P81" s="808">
        <v>0</v>
      </c>
      <c r="Q81" s="808">
        <v>0</v>
      </c>
      <c r="R81" s="808">
        <v>0</v>
      </c>
      <c r="S81" s="809">
        <f t="shared" si="4"/>
        <v>0</v>
      </c>
      <c r="T81" s="810">
        <f t="shared" ca="1" si="6"/>
        <v>-1059</v>
      </c>
      <c r="U81" s="811">
        <v>43323</v>
      </c>
      <c r="V81" s="812" t="s">
        <v>1939</v>
      </c>
      <c r="W81" s="813"/>
      <c r="X81" s="814"/>
      <c r="Y81" s="814"/>
      <c r="Z81" s="814"/>
      <c r="AA81" s="814"/>
      <c r="AB81" s="814"/>
      <c r="AC81" s="815"/>
      <c r="AD81" s="816">
        <v>41498</v>
      </c>
      <c r="AE81" s="817">
        <f t="shared" ca="1" si="5"/>
        <v>693</v>
      </c>
      <c r="AF81" s="805" t="s">
        <v>1940</v>
      </c>
    </row>
    <row r="82" spans="1:32" s="820" customFormat="1" ht="38.25" x14ac:dyDescent="0.2">
      <c r="A82" s="821" t="s">
        <v>1756</v>
      </c>
      <c r="B82" s="805"/>
      <c r="C82" s="805" t="s">
        <v>1757</v>
      </c>
      <c r="D82" s="806" t="s">
        <v>1953</v>
      </c>
      <c r="E82" s="806" t="s">
        <v>1798</v>
      </c>
      <c r="F82" s="807" t="s">
        <v>314</v>
      </c>
      <c r="G82" s="808">
        <v>0</v>
      </c>
      <c r="H82" s="808">
        <v>0</v>
      </c>
      <c r="I82" s="808">
        <v>0</v>
      </c>
      <c r="J82" s="808">
        <v>0</v>
      </c>
      <c r="K82" s="808">
        <v>0</v>
      </c>
      <c r="L82" s="808">
        <v>0</v>
      </c>
      <c r="M82" s="808">
        <v>0</v>
      </c>
      <c r="N82" s="808">
        <v>0</v>
      </c>
      <c r="O82" s="808">
        <v>0</v>
      </c>
      <c r="P82" s="808">
        <v>0</v>
      </c>
      <c r="Q82" s="808">
        <v>0</v>
      </c>
      <c r="R82" s="808">
        <v>0</v>
      </c>
      <c r="S82" s="809">
        <f t="shared" si="4"/>
        <v>0</v>
      </c>
      <c r="T82" s="830">
        <f t="shared" ca="1" si="6"/>
        <v>-2017</v>
      </c>
      <c r="U82" s="811">
        <v>42365</v>
      </c>
      <c r="V82" s="831" t="s">
        <v>1959</v>
      </c>
      <c r="W82" s="813"/>
      <c r="X82" s="814"/>
      <c r="Y82" s="814"/>
      <c r="Z82" s="814"/>
      <c r="AA82" s="814"/>
      <c r="AB82" s="814"/>
      <c r="AC82" s="815">
        <v>42755</v>
      </c>
      <c r="AD82" s="816">
        <v>42366</v>
      </c>
      <c r="AE82" s="832">
        <f t="shared" ca="1" si="5"/>
        <v>-176</v>
      </c>
      <c r="AF82" s="805" t="s">
        <v>1763</v>
      </c>
    </row>
    <row r="83" spans="1:32" s="820" customFormat="1" ht="51" x14ac:dyDescent="0.2">
      <c r="A83" s="821" t="s">
        <v>1756</v>
      </c>
      <c r="B83" s="805"/>
      <c r="C83" s="805" t="s">
        <v>1757</v>
      </c>
      <c r="D83" s="806" t="s">
        <v>1954</v>
      </c>
      <c r="E83" s="806" t="s">
        <v>1798</v>
      </c>
      <c r="F83" s="807" t="s">
        <v>314</v>
      </c>
      <c r="G83" s="808">
        <v>0</v>
      </c>
      <c r="H83" s="808">
        <v>0</v>
      </c>
      <c r="I83" s="808">
        <v>0</v>
      </c>
      <c r="J83" s="808">
        <v>0</v>
      </c>
      <c r="K83" s="808">
        <v>0</v>
      </c>
      <c r="L83" s="808">
        <v>0</v>
      </c>
      <c r="M83" s="808">
        <v>0</v>
      </c>
      <c r="N83" s="808">
        <v>0</v>
      </c>
      <c r="O83" s="808">
        <v>0</v>
      </c>
      <c r="P83" s="808">
        <v>0</v>
      </c>
      <c r="Q83" s="808">
        <v>0</v>
      </c>
      <c r="R83" s="808">
        <v>0</v>
      </c>
      <c r="S83" s="809">
        <f t="shared" si="4"/>
        <v>0</v>
      </c>
      <c r="T83" s="830">
        <f t="shared" ca="1" si="6"/>
        <v>-1613</v>
      </c>
      <c r="U83" s="811">
        <v>42769</v>
      </c>
      <c r="V83" s="831" t="s">
        <v>1958</v>
      </c>
      <c r="W83" s="813"/>
      <c r="X83" s="814"/>
      <c r="Y83" s="814"/>
      <c r="Z83" s="814"/>
      <c r="AA83" s="814"/>
      <c r="AB83" s="814"/>
      <c r="AC83" s="815">
        <v>42755</v>
      </c>
      <c r="AD83" s="816">
        <v>42404</v>
      </c>
      <c r="AE83" s="832">
        <f t="shared" ca="1" si="5"/>
        <v>-214</v>
      </c>
      <c r="AF83" s="805" t="s">
        <v>1763</v>
      </c>
    </row>
    <row r="84" spans="1:32" s="820" customFormat="1" ht="38.25" x14ac:dyDescent="0.2">
      <c r="A84" s="821" t="s">
        <v>1756</v>
      </c>
      <c r="B84" s="805"/>
      <c r="C84" s="805" t="s">
        <v>1757</v>
      </c>
      <c r="D84" s="806" t="s">
        <v>1956</v>
      </c>
      <c r="E84" s="806" t="s">
        <v>1798</v>
      </c>
      <c r="F84" s="807" t="s">
        <v>314</v>
      </c>
      <c r="G84" s="808">
        <v>0</v>
      </c>
      <c r="H84" s="808">
        <v>0</v>
      </c>
      <c r="I84" s="808">
        <v>0</v>
      </c>
      <c r="J84" s="808">
        <v>0</v>
      </c>
      <c r="K84" s="808">
        <v>0</v>
      </c>
      <c r="L84" s="808">
        <v>0</v>
      </c>
      <c r="M84" s="808">
        <v>0</v>
      </c>
      <c r="N84" s="808">
        <v>0</v>
      </c>
      <c r="O84" s="808">
        <v>0</v>
      </c>
      <c r="P84" s="808">
        <v>0</v>
      </c>
      <c r="Q84" s="808">
        <v>0</v>
      </c>
      <c r="R84" s="808">
        <v>0</v>
      </c>
      <c r="S84" s="809">
        <f t="shared" si="4"/>
        <v>0</v>
      </c>
      <c r="T84" s="830">
        <f t="shared" ca="1" si="6"/>
        <v>-1613</v>
      </c>
      <c r="U84" s="811">
        <v>42769</v>
      </c>
      <c r="V84" s="831" t="s">
        <v>1958</v>
      </c>
      <c r="W84" s="813"/>
      <c r="X84" s="814"/>
      <c r="Y84" s="814"/>
      <c r="Z84" s="814"/>
      <c r="AA84" s="814"/>
      <c r="AB84" s="814"/>
      <c r="AC84" s="815">
        <v>42755</v>
      </c>
      <c r="AD84" s="816">
        <v>42404</v>
      </c>
      <c r="AE84" s="832">
        <f t="shared" ca="1" si="5"/>
        <v>-214</v>
      </c>
      <c r="AF84" s="805" t="s">
        <v>1763</v>
      </c>
    </row>
    <row r="85" spans="1:32" s="820" customFormat="1" ht="38.25" x14ac:dyDescent="0.2">
      <c r="A85" s="821" t="s">
        <v>1756</v>
      </c>
      <c r="B85" s="805"/>
      <c r="C85" s="805" t="s">
        <v>1757</v>
      </c>
      <c r="D85" s="806" t="s">
        <v>1955</v>
      </c>
      <c r="E85" s="806" t="s">
        <v>1798</v>
      </c>
      <c r="F85" s="807" t="s">
        <v>314</v>
      </c>
      <c r="G85" s="808">
        <v>0</v>
      </c>
      <c r="H85" s="808">
        <v>1282.8699999999999</v>
      </c>
      <c r="I85" s="808">
        <v>0</v>
      </c>
      <c r="J85" s="808">
        <v>1246.52</v>
      </c>
      <c r="K85" s="808">
        <v>0</v>
      </c>
      <c r="L85" s="808">
        <v>0</v>
      </c>
      <c r="M85" s="808">
        <v>1055.4100000000001</v>
      </c>
      <c r="N85" s="808">
        <v>0</v>
      </c>
      <c r="O85" s="808">
        <v>0</v>
      </c>
      <c r="P85" s="808">
        <v>0</v>
      </c>
      <c r="Q85" s="808">
        <v>0</v>
      </c>
      <c r="R85" s="808">
        <v>0</v>
      </c>
      <c r="S85" s="809">
        <f t="shared" si="4"/>
        <v>3584.8</v>
      </c>
      <c r="T85" s="810">
        <f t="shared" ca="1" si="6"/>
        <v>-883</v>
      </c>
      <c r="U85" s="811">
        <v>43499</v>
      </c>
      <c r="V85" s="812" t="s">
        <v>2268</v>
      </c>
      <c r="W85" s="813"/>
      <c r="X85" s="814"/>
      <c r="Y85" s="814"/>
      <c r="Z85" s="814"/>
      <c r="AA85" s="814"/>
      <c r="AB85" s="814"/>
      <c r="AC85" s="815">
        <v>43451</v>
      </c>
      <c r="AD85" s="816">
        <v>42404</v>
      </c>
      <c r="AE85" s="817">
        <f t="shared" ca="1" si="5"/>
        <v>-214</v>
      </c>
      <c r="AF85" s="805" t="s">
        <v>1763</v>
      </c>
    </row>
    <row r="86" spans="1:32" s="820" customFormat="1" ht="38.25" x14ac:dyDescent="0.2">
      <c r="A86" s="821" t="s">
        <v>1756</v>
      </c>
      <c r="B86" s="805"/>
      <c r="C86" s="805" t="s">
        <v>1757</v>
      </c>
      <c r="D86" s="806" t="s">
        <v>1957</v>
      </c>
      <c r="E86" s="806" t="s">
        <v>1798</v>
      </c>
      <c r="F86" s="807" t="s">
        <v>314</v>
      </c>
      <c r="G86" s="808">
        <v>0</v>
      </c>
      <c r="H86" s="808">
        <v>0</v>
      </c>
      <c r="I86" s="808">
        <v>0</v>
      </c>
      <c r="J86" s="808">
        <f>493.41+254.12</f>
        <v>747.53</v>
      </c>
      <c r="K86" s="808">
        <v>0</v>
      </c>
      <c r="L86" s="808">
        <v>0</v>
      </c>
      <c r="M86" s="808">
        <v>0</v>
      </c>
      <c r="N86" s="808">
        <v>0</v>
      </c>
      <c r="O86" s="808">
        <v>0</v>
      </c>
      <c r="P86" s="808">
        <v>0</v>
      </c>
      <c r="Q86" s="808">
        <v>0</v>
      </c>
      <c r="R86" s="808">
        <v>0</v>
      </c>
      <c r="S86" s="809">
        <f t="shared" si="4"/>
        <v>747.53</v>
      </c>
      <c r="T86" s="810">
        <f t="shared" ca="1" si="6"/>
        <v>-883</v>
      </c>
      <c r="U86" s="811">
        <v>43499</v>
      </c>
      <c r="V86" s="812" t="s">
        <v>2268</v>
      </c>
      <c r="W86" s="813"/>
      <c r="X86" s="814"/>
      <c r="Y86" s="814"/>
      <c r="Z86" s="814"/>
      <c r="AA86" s="814"/>
      <c r="AB86" s="814"/>
      <c r="AC86" s="815">
        <v>43451</v>
      </c>
      <c r="AD86" s="816">
        <v>42404</v>
      </c>
      <c r="AE86" s="817">
        <f t="shared" ca="1" si="5"/>
        <v>-214</v>
      </c>
      <c r="AF86" s="805" t="s">
        <v>1763</v>
      </c>
    </row>
    <row r="87" spans="1:32" s="820" customFormat="1" ht="51" x14ac:dyDescent="0.2">
      <c r="A87" s="821" t="s">
        <v>1960</v>
      </c>
      <c r="B87" s="805"/>
      <c r="C87" s="805" t="s">
        <v>1961</v>
      </c>
      <c r="D87" s="806" t="s">
        <v>1269</v>
      </c>
      <c r="E87" s="806" t="s">
        <v>1963</v>
      </c>
      <c r="F87" s="807">
        <v>30529.19</v>
      </c>
      <c r="G87" s="808">
        <v>2471.1999999999998</v>
      </c>
      <c r="H87" s="808">
        <v>0</v>
      </c>
      <c r="I87" s="808">
        <v>2471.1999999999998</v>
      </c>
      <c r="J87" s="808">
        <v>2471.1999999999998</v>
      </c>
      <c r="K87" s="808">
        <v>2544.1</v>
      </c>
      <c r="L87" s="808">
        <f>2544.1+2544.1</f>
        <v>5088.2</v>
      </c>
      <c r="M87" s="808">
        <v>0</v>
      </c>
      <c r="N87" s="808">
        <f>2544.1+2544.1</f>
        <v>5088.2</v>
      </c>
      <c r="O87" s="808">
        <v>2544.1</v>
      </c>
      <c r="P87" s="808">
        <v>0</v>
      </c>
      <c r="Q87" s="808">
        <f>2544.1+2544.1</f>
        <v>5088.2</v>
      </c>
      <c r="R87" s="808">
        <v>0</v>
      </c>
      <c r="S87" s="809">
        <f t="shared" si="4"/>
        <v>27766.399999999998</v>
      </c>
      <c r="T87" s="810">
        <f t="shared" ca="1" si="6"/>
        <v>-870</v>
      </c>
      <c r="U87" s="811">
        <v>43512</v>
      </c>
      <c r="V87" s="812" t="s">
        <v>2127</v>
      </c>
      <c r="W87" s="813"/>
      <c r="X87" s="814"/>
      <c r="Y87" s="814"/>
      <c r="Z87" s="814"/>
      <c r="AA87" s="814"/>
      <c r="AB87" s="814"/>
      <c r="AC87" s="815">
        <v>43451</v>
      </c>
      <c r="AD87" s="816">
        <v>42417</v>
      </c>
      <c r="AE87" s="817">
        <f t="shared" ca="1" si="5"/>
        <v>-227</v>
      </c>
      <c r="AF87" s="805" t="s">
        <v>169</v>
      </c>
    </row>
    <row r="88" spans="1:32" s="820" customFormat="1" ht="51" x14ac:dyDescent="0.2">
      <c r="A88" s="821" t="s">
        <v>1976</v>
      </c>
      <c r="B88" s="805"/>
      <c r="C88" s="805" t="s">
        <v>1980</v>
      </c>
      <c r="D88" s="806" t="s">
        <v>1981</v>
      </c>
      <c r="E88" s="806" t="s">
        <v>2081</v>
      </c>
      <c r="F88" s="807">
        <v>337028.52</v>
      </c>
      <c r="G88" s="808">
        <v>0</v>
      </c>
      <c r="H88" s="808">
        <v>0</v>
      </c>
      <c r="I88" s="808">
        <v>0</v>
      </c>
      <c r="J88" s="808">
        <v>0</v>
      </c>
      <c r="K88" s="808">
        <v>0</v>
      </c>
      <c r="L88" s="808">
        <v>0</v>
      </c>
      <c r="M88" s="808">
        <v>0</v>
      </c>
      <c r="N88" s="808">
        <v>0</v>
      </c>
      <c r="O88" s="808">
        <v>0</v>
      </c>
      <c r="P88" s="808">
        <v>0</v>
      </c>
      <c r="Q88" s="808">
        <v>0</v>
      </c>
      <c r="R88" s="808">
        <v>0</v>
      </c>
      <c r="S88" s="809">
        <f t="shared" si="4"/>
        <v>0</v>
      </c>
      <c r="T88" s="810">
        <f t="shared" ca="1" si="6"/>
        <v>-928</v>
      </c>
      <c r="U88" s="811">
        <v>43454</v>
      </c>
      <c r="V88" s="812" t="s">
        <v>2126</v>
      </c>
      <c r="W88" s="813"/>
      <c r="X88" s="814"/>
      <c r="Y88" s="814"/>
      <c r="Z88" s="814"/>
      <c r="AA88" s="814"/>
      <c r="AB88" s="814"/>
      <c r="AC88" s="815">
        <v>43395</v>
      </c>
      <c r="AD88" s="816">
        <v>42725</v>
      </c>
      <c r="AE88" s="817">
        <f t="shared" ca="1" si="5"/>
        <v>-534</v>
      </c>
      <c r="AF88" s="805" t="s">
        <v>48</v>
      </c>
    </row>
    <row r="89" spans="1:32" s="820" customFormat="1" ht="51" x14ac:dyDescent="0.2">
      <c r="A89" s="821" t="s">
        <v>1976</v>
      </c>
      <c r="B89" s="805"/>
      <c r="C89" s="805" t="s">
        <v>1980</v>
      </c>
      <c r="D89" s="806" t="s">
        <v>1547</v>
      </c>
      <c r="E89" s="806" t="s">
        <v>2128</v>
      </c>
      <c r="F89" s="807">
        <v>83750.28</v>
      </c>
      <c r="G89" s="808">
        <v>8310.5</v>
      </c>
      <c r="H89" s="808">
        <v>0</v>
      </c>
      <c r="I89" s="808">
        <v>0</v>
      </c>
      <c r="J89" s="808">
        <v>0</v>
      </c>
      <c r="K89" s="808">
        <v>2319.6</v>
      </c>
      <c r="L89" s="808">
        <v>0</v>
      </c>
      <c r="M89" s="808">
        <v>0</v>
      </c>
      <c r="N89" s="808">
        <v>8423.42</v>
      </c>
      <c r="O89" s="808">
        <v>0</v>
      </c>
      <c r="P89" s="808">
        <v>0</v>
      </c>
      <c r="Q89" s="808">
        <v>1153.8800000000001</v>
      </c>
      <c r="R89" s="808">
        <v>0</v>
      </c>
      <c r="S89" s="809">
        <f t="shared" si="4"/>
        <v>20207.400000000001</v>
      </c>
      <c r="T89" s="810">
        <f t="shared" ca="1" si="6"/>
        <v>-773</v>
      </c>
      <c r="U89" s="811">
        <v>43609</v>
      </c>
      <c r="V89" s="812" t="s">
        <v>2147</v>
      </c>
      <c r="W89" s="813"/>
      <c r="X89" s="814"/>
      <c r="Y89" s="814"/>
      <c r="Z89" s="814"/>
      <c r="AA89" s="814"/>
      <c r="AB89" s="814"/>
      <c r="AC89" s="815"/>
      <c r="AD89" s="816">
        <v>42725</v>
      </c>
      <c r="AE89" s="817">
        <f t="shared" ca="1" si="5"/>
        <v>-534</v>
      </c>
      <c r="AF89" s="805" t="s">
        <v>48</v>
      </c>
    </row>
    <row r="90" spans="1:32" s="820" customFormat="1" ht="38.25" x14ac:dyDescent="0.2">
      <c r="A90" s="821" t="s">
        <v>1756</v>
      </c>
      <c r="B90" s="805"/>
      <c r="C90" s="805" t="s">
        <v>1757</v>
      </c>
      <c r="D90" s="806" t="s">
        <v>1986</v>
      </c>
      <c r="E90" s="806" t="s">
        <v>1798</v>
      </c>
      <c r="F90" s="807">
        <v>0</v>
      </c>
      <c r="G90" s="808">
        <v>0</v>
      </c>
      <c r="H90" s="808">
        <v>0</v>
      </c>
      <c r="I90" s="808">
        <v>0</v>
      </c>
      <c r="J90" s="808">
        <v>0</v>
      </c>
      <c r="K90" s="808">
        <v>0</v>
      </c>
      <c r="L90" s="808">
        <v>0</v>
      </c>
      <c r="M90" s="808">
        <v>0</v>
      </c>
      <c r="N90" s="808">
        <v>0</v>
      </c>
      <c r="O90" s="808">
        <v>0</v>
      </c>
      <c r="P90" s="808">
        <v>0</v>
      </c>
      <c r="Q90" s="808">
        <v>0</v>
      </c>
      <c r="R90" s="808">
        <v>0</v>
      </c>
      <c r="S90" s="809">
        <f t="shared" si="4"/>
        <v>0</v>
      </c>
      <c r="T90" s="810">
        <f t="shared" ca="1" si="6"/>
        <v>-1251</v>
      </c>
      <c r="U90" s="811">
        <v>43131</v>
      </c>
      <c r="V90" s="812" t="s">
        <v>1987</v>
      </c>
      <c r="W90" s="813"/>
      <c r="X90" s="814"/>
      <c r="Y90" s="814"/>
      <c r="Z90" s="814"/>
      <c r="AA90" s="814"/>
      <c r="AB90" s="814"/>
      <c r="AC90" s="815">
        <v>43088</v>
      </c>
      <c r="AD90" s="816">
        <v>42767</v>
      </c>
      <c r="AE90" s="817">
        <f t="shared" ca="1" si="5"/>
        <v>-576</v>
      </c>
      <c r="AF90" s="805" t="s">
        <v>1988</v>
      </c>
    </row>
    <row r="91" spans="1:32" s="820" customFormat="1" ht="38.25" x14ac:dyDescent="0.2">
      <c r="A91" s="821" t="s">
        <v>2002</v>
      </c>
      <c r="B91" s="805" t="s">
        <v>1840</v>
      </c>
      <c r="C91" s="805" t="s">
        <v>2411</v>
      </c>
      <c r="D91" s="806" t="s">
        <v>2004</v>
      </c>
      <c r="E91" s="806" t="s">
        <v>1210</v>
      </c>
      <c r="F91" s="807">
        <v>3543.24</v>
      </c>
      <c r="G91" s="808">
        <v>295.27</v>
      </c>
      <c r="H91" s="808">
        <v>295.27</v>
      </c>
      <c r="I91" s="808">
        <v>295.27</v>
      </c>
      <c r="J91" s="808">
        <v>295.27</v>
      </c>
      <c r="K91" s="808">
        <v>295.27</v>
      </c>
      <c r="L91" s="808">
        <v>295.27</v>
      </c>
      <c r="M91" s="808">
        <v>295.27</v>
      </c>
      <c r="N91" s="808">
        <v>295.27</v>
      </c>
      <c r="O91" s="808">
        <v>295.27</v>
      </c>
      <c r="P91" s="808">
        <v>295.27</v>
      </c>
      <c r="Q91" s="808">
        <v>295.27</v>
      </c>
      <c r="R91" s="808">
        <v>295.27</v>
      </c>
      <c r="S91" s="809">
        <f t="shared" si="4"/>
        <v>3543.24</v>
      </c>
      <c r="T91" s="810">
        <f t="shared" ca="1" si="6"/>
        <v>-858</v>
      </c>
      <c r="U91" s="811">
        <v>43524</v>
      </c>
      <c r="V91" s="812" t="s">
        <v>2124</v>
      </c>
      <c r="W91" s="813"/>
      <c r="X91" s="814"/>
      <c r="Y91" s="814"/>
      <c r="Z91" s="814"/>
      <c r="AA91" s="814"/>
      <c r="AB91" s="814"/>
      <c r="AC91" s="815">
        <v>43462</v>
      </c>
      <c r="AD91" s="816">
        <v>42795</v>
      </c>
      <c r="AE91" s="817">
        <f t="shared" ca="1" si="5"/>
        <v>-604</v>
      </c>
      <c r="AF91" s="805" t="s">
        <v>1295</v>
      </c>
    </row>
    <row r="92" spans="1:32" s="820" customFormat="1" ht="38.25" x14ac:dyDescent="0.2">
      <c r="A92" s="821" t="s">
        <v>2005</v>
      </c>
      <c r="B92" s="805"/>
      <c r="C92" s="805" t="s">
        <v>2006</v>
      </c>
      <c r="D92" s="806" t="s">
        <v>2283</v>
      </c>
      <c r="E92" s="806" t="s">
        <v>2008</v>
      </c>
      <c r="F92" s="807">
        <v>16450</v>
      </c>
      <c r="G92" s="808">
        <v>0</v>
      </c>
      <c r="H92" s="808">
        <v>0</v>
      </c>
      <c r="I92" s="808">
        <v>0</v>
      </c>
      <c r="J92" s="808">
        <v>0</v>
      </c>
      <c r="K92" s="808">
        <v>0</v>
      </c>
      <c r="L92" s="808">
        <v>0</v>
      </c>
      <c r="M92" s="808">
        <v>0</v>
      </c>
      <c r="N92" s="808">
        <v>0</v>
      </c>
      <c r="O92" s="808">
        <v>0</v>
      </c>
      <c r="P92" s="808">
        <v>0</v>
      </c>
      <c r="Q92" s="808">
        <v>0</v>
      </c>
      <c r="R92" s="808">
        <v>0</v>
      </c>
      <c r="S92" s="809">
        <f t="shared" si="4"/>
        <v>0</v>
      </c>
      <c r="T92" s="830">
        <f t="shared" ca="1" si="6"/>
        <v>-1193</v>
      </c>
      <c r="U92" s="811">
        <v>43189</v>
      </c>
      <c r="V92" s="831" t="s">
        <v>2009</v>
      </c>
      <c r="W92" s="813"/>
      <c r="X92" s="814"/>
      <c r="Y92" s="814"/>
      <c r="Z92" s="814"/>
      <c r="AA92" s="814"/>
      <c r="AB92" s="814"/>
      <c r="AC92" s="815">
        <v>43132</v>
      </c>
      <c r="AD92" s="816">
        <v>42825</v>
      </c>
      <c r="AE92" s="832">
        <f t="shared" ca="1" si="5"/>
        <v>-634</v>
      </c>
      <c r="AF92" s="805" t="s">
        <v>48</v>
      </c>
    </row>
    <row r="93" spans="1:32" s="820" customFormat="1" ht="38.25" x14ac:dyDescent="0.2">
      <c r="A93" s="821" t="s">
        <v>2010</v>
      </c>
      <c r="B93" s="805" t="s">
        <v>2011</v>
      </c>
      <c r="C93" s="805" t="s">
        <v>2412</v>
      </c>
      <c r="D93" s="806" t="s">
        <v>340</v>
      </c>
      <c r="E93" s="806" t="s">
        <v>2012</v>
      </c>
      <c r="F93" s="807">
        <v>24333.360000000001</v>
      </c>
      <c r="G93" s="808">
        <v>2027.78</v>
      </c>
      <c r="H93" s="808">
        <v>2027.78</v>
      </c>
      <c r="I93" s="808">
        <f>2027.78+2224.84</f>
        <v>4252.62</v>
      </c>
      <c r="J93" s="808">
        <v>2224.81</v>
      </c>
      <c r="K93" s="808">
        <v>0</v>
      </c>
      <c r="L93" s="808">
        <v>2027.84</v>
      </c>
      <c r="M93" s="808">
        <v>0</v>
      </c>
      <c r="N93" s="808">
        <f>2027.84+2027.84</f>
        <v>4055.68</v>
      </c>
      <c r="O93" s="808">
        <v>2027.78</v>
      </c>
      <c r="P93" s="808">
        <v>2027.78</v>
      </c>
      <c r="Q93" s="808">
        <v>2027.78</v>
      </c>
      <c r="R93" s="808">
        <v>2027.78</v>
      </c>
      <c r="S93" s="809">
        <f t="shared" si="4"/>
        <v>24727.629999999994</v>
      </c>
      <c r="T93" s="810">
        <f t="shared" ca="1" si="6"/>
        <v>-835</v>
      </c>
      <c r="U93" s="811">
        <v>43547</v>
      </c>
      <c r="V93" s="812" t="s">
        <v>2138</v>
      </c>
      <c r="W93" s="813"/>
      <c r="X93" s="814"/>
      <c r="Y93" s="814"/>
      <c r="Z93" s="814"/>
      <c r="AA93" s="814"/>
      <c r="AB93" s="814"/>
      <c r="AC93" s="815">
        <v>43494</v>
      </c>
      <c r="AD93" s="816">
        <v>42818</v>
      </c>
      <c r="AE93" s="817">
        <f t="shared" ca="1" si="5"/>
        <v>-627</v>
      </c>
      <c r="AF93" s="805" t="s">
        <v>96</v>
      </c>
    </row>
    <row r="94" spans="1:32" s="820" customFormat="1" ht="25.5" x14ac:dyDescent="0.2">
      <c r="A94" s="821" t="s">
        <v>2005</v>
      </c>
      <c r="B94" s="805"/>
      <c r="C94" s="805" t="s">
        <v>2006</v>
      </c>
      <c r="D94" s="806" t="s">
        <v>2018</v>
      </c>
      <c r="E94" s="806" t="s">
        <v>2019</v>
      </c>
      <c r="F94" s="807">
        <v>3554.6</v>
      </c>
      <c r="G94" s="808">
        <v>0</v>
      </c>
      <c r="H94" s="808">
        <v>0</v>
      </c>
      <c r="I94" s="808">
        <v>0</v>
      </c>
      <c r="J94" s="808">
        <v>0</v>
      </c>
      <c r="K94" s="808">
        <v>0</v>
      </c>
      <c r="L94" s="808">
        <v>0</v>
      </c>
      <c r="M94" s="808">
        <v>0</v>
      </c>
      <c r="N94" s="808">
        <v>0</v>
      </c>
      <c r="O94" s="808">
        <v>0</v>
      </c>
      <c r="P94" s="808">
        <v>0</v>
      </c>
      <c r="Q94" s="808">
        <v>0</v>
      </c>
      <c r="R94" s="808">
        <v>0</v>
      </c>
      <c r="S94" s="809">
        <f t="shared" ref="S94:S108" si="7">SUM(G94:R94)</f>
        <v>0</v>
      </c>
      <c r="T94" s="830">
        <f t="shared" ca="1" si="6"/>
        <v>-1188</v>
      </c>
      <c r="U94" s="811">
        <v>43194</v>
      </c>
      <c r="V94" s="831" t="s">
        <v>2020</v>
      </c>
      <c r="W94" s="813"/>
      <c r="X94" s="814"/>
      <c r="Y94" s="814"/>
      <c r="Z94" s="814"/>
      <c r="AA94" s="814"/>
      <c r="AB94" s="814"/>
      <c r="AC94" s="815">
        <v>43132</v>
      </c>
      <c r="AD94" s="816">
        <v>42830</v>
      </c>
      <c r="AE94" s="832">
        <f t="shared" ca="1" si="5"/>
        <v>-639</v>
      </c>
      <c r="AF94" s="805" t="s">
        <v>48</v>
      </c>
    </row>
    <row r="95" spans="1:32" s="820" customFormat="1" ht="25.5" x14ac:dyDescent="0.2">
      <c r="A95" s="821" t="s">
        <v>1756</v>
      </c>
      <c r="B95" s="805"/>
      <c r="C95" s="805" t="s">
        <v>1932</v>
      </c>
      <c r="D95" s="806" t="s">
        <v>2039</v>
      </c>
      <c r="E95" s="806" t="s">
        <v>1798</v>
      </c>
      <c r="F95" s="807">
        <v>0</v>
      </c>
      <c r="G95" s="808">
        <v>0</v>
      </c>
      <c r="H95" s="808">
        <v>0</v>
      </c>
      <c r="I95" s="808">
        <v>0</v>
      </c>
      <c r="J95" s="808">
        <v>0</v>
      </c>
      <c r="K95" s="808">
        <v>0</v>
      </c>
      <c r="L95" s="808">
        <v>0</v>
      </c>
      <c r="M95" s="808">
        <v>0</v>
      </c>
      <c r="N95" s="808">
        <v>0</v>
      </c>
      <c r="O95" s="808">
        <v>0</v>
      </c>
      <c r="P95" s="808">
        <v>0</v>
      </c>
      <c r="Q95" s="808">
        <v>0</v>
      </c>
      <c r="R95" s="808">
        <v>311.49</v>
      </c>
      <c r="S95" s="809">
        <f t="shared" si="7"/>
        <v>311.49</v>
      </c>
      <c r="T95" s="810">
        <f t="shared" ca="1" si="6"/>
        <v>-758</v>
      </c>
      <c r="U95" s="811">
        <v>43624</v>
      </c>
      <c r="V95" s="812" t="s">
        <v>2231</v>
      </c>
      <c r="W95" s="813"/>
      <c r="X95" s="814"/>
      <c r="Y95" s="814"/>
      <c r="Z95" s="814"/>
      <c r="AA95" s="814"/>
      <c r="AB95" s="814"/>
      <c r="AC95" s="815"/>
      <c r="AD95" s="816">
        <v>42895</v>
      </c>
      <c r="AE95" s="817">
        <f t="shared" ca="1" si="5"/>
        <v>-704</v>
      </c>
      <c r="AF95" s="805" t="s">
        <v>1988</v>
      </c>
    </row>
    <row r="96" spans="1:32" s="820" customFormat="1" ht="38.25" x14ac:dyDescent="0.2">
      <c r="A96" s="821" t="s">
        <v>2047</v>
      </c>
      <c r="B96" s="805" t="s">
        <v>1840</v>
      </c>
      <c r="C96" s="805" t="s">
        <v>2410</v>
      </c>
      <c r="D96" s="806" t="s">
        <v>2048</v>
      </c>
      <c r="E96" s="806" t="s">
        <v>2049</v>
      </c>
      <c r="F96" s="807">
        <v>10707</v>
      </c>
      <c r="G96" s="808">
        <v>0</v>
      </c>
      <c r="H96" s="808">
        <v>0</v>
      </c>
      <c r="I96" s="808">
        <v>0</v>
      </c>
      <c r="J96" s="808">
        <v>0</v>
      </c>
      <c r="K96" s="808">
        <v>0</v>
      </c>
      <c r="L96" s="808">
        <v>0</v>
      </c>
      <c r="M96" s="808">
        <v>0</v>
      </c>
      <c r="N96" s="808">
        <v>0</v>
      </c>
      <c r="O96" s="808">
        <v>0</v>
      </c>
      <c r="P96" s="808">
        <v>0</v>
      </c>
      <c r="Q96" s="808">
        <v>0</v>
      </c>
      <c r="R96" s="808">
        <v>0</v>
      </c>
      <c r="S96" s="809">
        <f t="shared" si="7"/>
        <v>0</v>
      </c>
      <c r="T96" s="810">
        <f t="shared" ca="1" si="6"/>
        <v>-354</v>
      </c>
      <c r="U96" s="811">
        <v>44028</v>
      </c>
      <c r="V96" s="812" t="s">
        <v>2050</v>
      </c>
      <c r="W96" s="813"/>
      <c r="X96" s="814"/>
      <c r="Y96" s="814"/>
      <c r="Z96" s="814"/>
      <c r="AA96" s="814"/>
      <c r="AB96" s="814"/>
      <c r="AC96" s="815"/>
      <c r="AD96" s="816">
        <v>42933</v>
      </c>
      <c r="AE96" s="817">
        <f t="shared" ca="1" si="5"/>
        <v>-742</v>
      </c>
      <c r="AF96" s="805" t="s">
        <v>41</v>
      </c>
    </row>
    <row r="97" spans="1:32" s="820" customFormat="1" ht="38.25" x14ac:dyDescent="0.2">
      <c r="A97" s="821" t="s">
        <v>1756</v>
      </c>
      <c r="B97" s="805"/>
      <c r="C97" s="805" t="s">
        <v>1757</v>
      </c>
      <c r="D97" s="806" t="s">
        <v>2055</v>
      </c>
      <c r="E97" s="806" t="s">
        <v>1798</v>
      </c>
      <c r="F97" s="807">
        <v>0</v>
      </c>
      <c r="G97" s="808">
        <v>0</v>
      </c>
      <c r="H97" s="808">
        <v>0</v>
      </c>
      <c r="I97" s="808">
        <v>0</v>
      </c>
      <c r="J97" s="808">
        <v>0</v>
      </c>
      <c r="K97" s="808">
        <v>0</v>
      </c>
      <c r="L97" s="808">
        <v>0</v>
      </c>
      <c r="M97" s="808">
        <v>0</v>
      </c>
      <c r="N97" s="808">
        <v>0</v>
      </c>
      <c r="O97" s="808">
        <v>0</v>
      </c>
      <c r="P97" s="808">
        <f>414.77+1038.52</f>
        <v>1453.29</v>
      </c>
      <c r="Q97" s="808">
        <v>0</v>
      </c>
      <c r="R97" s="808">
        <v>0</v>
      </c>
      <c r="S97" s="809">
        <f t="shared" si="7"/>
        <v>1453.29</v>
      </c>
      <c r="T97" s="810">
        <f t="shared" ca="1" si="6"/>
        <v>-677</v>
      </c>
      <c r="U97" s="811">
        <v>43705</v>
      </c>
      <c r="V97" s="812" t="s">
        <v>2231</v>
      </c>
      <c r="W97" s="813"/>
      <c r="X97" s="814"/>
      <c r="Y97" s="814"/>
      <c r="Z97" s="814"/>
      <c r="AA97" s="814"/>
      <c r="AB97" s="814"/>
      <c r="AC97" s="815"/>
      <c r="AD97" s="816">
        <v>42976</v>
      </c>
      <c r="AE97" s="817">
        <f t="shared" ca="1" si="5"/>
        <v>-785</v>
      </c>
      <c r="AF97" s="805" t="s">
        <v>1763</v>
      </c>
    </row>
    <row r="98" spans="1:32" s="820" customFormat="1" ht="38.25" x14ac:dyDescent="0.2">
      <c r="A98" s="821" t="s">
        <v>1756</v>
      </c>
      <c r="B98" s="805"/>
      <c r="C98" s="805" t="s">
        <v>1757</v>
      </c>
      <c r="D98" s="806" t="s">
        <v>2056</v>
      </c>
      <c r="E98" s="806" t="s">
        <v>1798</v>
      </c>
      <c r="F98" s="807">
        <v>0</v>
      </c>
      <c r="G98" s="808">
        <v>0</v>
      </c>
      <c r="H98" s="808">
        <v>0</v>
      </c>
      <c r="I98" s="808">
        <v>0</v>
      </c>
      <c r="J98" s="808">
        <v>0</v>
      </c>
      <c r="K98" s="808">
        <v>0</v>
      </c>
      <c r="L98" s="808">
        <v>0</v>
      </c>
      <c r="M98" s="808">
        <v>0</v>
      </c>
      <c r="N98" s="808">
        <v>0</v>
      </c>
      <c r="O98" s="808">
        <v>0</v>
      </c>
      <c r="P98" s="808">
        <v>0</v>
      </c>
      <c r="Q98" s="808">
        <v>0</v>
      </c>
      <c r="R98" s="808">
        <v>0</v>
      </c>
      <c r="S98" s="809">
        <f t="shared" si="7"/>
        <v>0</v>
      </c>
      <c r="T98" s="810">
        <f t="shared" ca="1" si="6"/>
        <v>-1040</v>
      </c>
      <c r="U98" s="811">
        <v>43342</v>
      </c>
      <c r="V98" s="812" t="s">
        <v>2050</v>
      </c>
      <c r="W98" s="813"/>
      <c r="X98" s="814"/>
      <c r="Y98" s="814"/>
      <c r="Z98" s="814"/>
      <c r="AA98" s="814"/>
      <c r="AB98" s="814"/>
      <c r="AC98" s="815">
        <v>43297</v>
      </c>
      <c r="AD98" s="816">
        <v>42976</v>
      </c>
      <c r="AE98" s="817">
        <f t="shared" ca="1" si="5"/>
        <v>-785</v>
      </c>
      <c r="AF98" s="805" t="s">
        <v>1763</v>
      </c>
    </row>
    <row r="99" spans="1:32" s="820" customFormat="1" ht="51" x14ac:dyDescent="0.2">
      <c r="A99" s="821" t="s">
        <v>2057</v>
      </c>
      <c r="B99" s="805" t="s">
        <v>2058</v>
      </c>
      <c r="C99" s="805"/>
      <c r="D99" s="806" t="s">
        <v>1282</v>
      </c>
      <c r="E99" s="806" t="s">
        <v>2059</v>
      </c>
      <c r="F99" s="807">
        <v>306134.94</v>
      </c>
      <c r="G99" s="808">
        <v>0</v>
      </c>
      <c r="H99" s="808">
        <v>0</v>
      </c>
      <c r="I99" s="808">
        <v>0</v>
      </c>
      <c r="J99" s="808">
        <v>0</v>
      </c>
      <c r="K99" s="808">
        <v>0</v>
      </c>
      <c r="L99" s="808">
        <v>0</v>
      </c>
      <c r="M99" s="808">
        <v>0</v>
      </c>
      <c r="N99" s="808">
        <v>0</v>
      </c>
      <c r="O99" s="808">
        <v>0</v>
      </c>
      <c r="P99" s="808">
        <v>0</v>
      </c>
      <c r="Q99" s="808">
        <v>0</v>
      </c>
      <c r="R99" s="808">
        <v>0</v>
      </c>
      <c r="S99" s="809">
        <f t="shared" si="7"/>
        <v>0</v>
      </c>
      <c r="T99" s="810">
        <f t="shared" ca="1" si="6"/>
        <v>-1251</v>
      </c>
      <c r="U99" s="811">
        <v>43131</v>
      </c>
      <c r="V99" s="812" t="s">
        <v>2060</v>
      </c>
      <c r="W99" s="835" t="s">
        <v>2281</v>
      </c>
      <c r="X99" s="814"/>
      <c r="Y99" s="814"/>
      <c r="Z99" s="814"/>
      <c r="AA99" s="814"/>
      <c r="AB99" s="814"/>
      <c r="AC99" s="815"/>
      <c r="AD99" s="816">
        <v>42948</v>
      </c>
      <c r="AE99" s="817">
        <f t="shared" ca="1" si="5"/>
        <v>-757</v>
      </c>
      <c r="AF99" s="805" t="s">
        <v>41</v>
      </c>
    </row>
    <row r="100" spans="1:32" s="820" customFormat="1" ht="51" x14ac:dyDescent="0.2">
      <c r="A100" s="821" t="s">
        <v>2061</v>
      </c>
      <c r="B100" s="805" t="s">
        <v>2062</v>
      </c>
      <c r="C100" s="805"/>
      <c r="D100" s="806" t="s">
        <v>2063</v>
      </c>
      <c r="E100" s="806" t="s">
        <v>2145</v>
      </c>
      <c r="F100" s="807" t="s">
        <v>2070</v>
      </c>
      <c r="G100" s="808">
        <v>95</v>
      </c>
      <c r="H100" s="808">
        <v>170</v>
      </c>
      <c r="I100" s="808">
        <v>209</v>
      </c>
      <c r="J100" s="808">
        <v>160.5</v>
      </c>
      <c r="K100" s="808">
        <v>201</v>
      </c>
      <c r="L100" s="808">
        <v>155</v>
      </c>
      <c r="M100" s="808">
        <v>228</v>
      </c>
      <c r="N100" s="808">
        <v>80</v>
      </c>
      <c r="O100" s="808">
        <v>191</v>
      </c>
      <c r="P100" s="808">
        <v>0</v>
      </c>
      <c r="Q100" s="808">
        <v>0</v>
      </c>
      <c r="R100" s="808">
        <v>0</v>
      </c>
      <c r="S100" s="809">
        <f t="shared" si="7"/>
        <v>1489.5</v>
      </c>
      <c r="T100" s="810">
        <f t="shared" ca="1" si="6"/>
        <v>-1039</v>
      </c>
      <c r="U100" s="811">
        <v>43343</v>
      </c>
      <c r="V100" s="812" t="s">
        <v>2065</v>
      </c>
      <c r="W100" s="813"/>
      <c r="X100" s="814"/>
      <c r="Y100" s="814"/>
      <c r="Z100" s="814"/>
      <c r="AA100" s="814"/>
      <c r="AB100" s="814"/>
      <c r="AC100" s="815">
        <v>43299</v>
      </c>
      <c r="AD100" s="816">
        <v>42979</v>
      </c>
      <c r="AE100" s="817">
        <f t="shared" ca="1" si="5"/>
        <v>-788</v>
      </c>
      <c r="AF100" s="805" t="s">
        <v>48</v>
      </c>
    </row>
    <row r="101" spans="1:32" s="820" customFormat="1" ht="51" x14ac:dyDescent="0.2">
      <c r="A101" s="821" t="s">
        <v>2066</v>
      </c>
      <c r="B101" s="805"/>
      <c r="C101" s="805" t="s">
        <v>2067</v>
      </c>
      <c r="D101" s="806" t="s">
        <v>2068</v>
      </c>
      <c r="E101" s="806" t="s">
        <v>2069</v>
      </c>
      <c r="F101" s="807" t="s">
        <v>2071</v>
      </c>
      <c r="G101" s="808">
        <f>77.46+636.17+456.93</f>
        <v>1170.56</v>
      </c>
      <c r="H101" s="808">
        <f>359.59+79.54+642.26</f>
        <v>1081.3899999999999</v>
      </c>
      <c r="I101" s="808">
        <f>758.96+632.59+78.01</f>
        <v>1469.5600000000002</v>
      </c>
      <c r="J101" s="808">
        <f>267.56+77.46+644.95</f>
        <v>989.97</v>
      </c>
      <c r="K101" s="808">
        <f>83.85+646.18+274.89+228.91</f>
        <v>1233.83</v>
      </c>
      <c r="L101" s="808">
        <f>81.03+648.43</f>
        <v>729.45999999999992</v>
      </c>
      <c r="M101" s="808">
        <f>612.54+82.95+1586.06</f>
        <v>2281.5500000000002</v>
      </c>
      <c r="N101" s="808">
        <f>2549.55+78.88+564.79+4604.56</f>
        <v>7797.7800000000007</v>
      </c>
      <c r="O101" s="808">
        <f>239.61+564.79+77.64</f>
        <v>882.04</v>
      </c>
      <c r="P101" s="808">
        <f>80.09+564.79+245.31+38.73</f>
        <v>928.92000000000007</v>
      </c>
      <c r="Q101" s="808">
        <f>231.68+38.73+922.08</f>
        <v>1192.49</v>
      </c>
      <c r="R101" s="808">
        <f>38.82+77.9+564.79+247.53</f>
        <v>929.04</v>
      </c>
      <c r="S101" s="809">
        <f t="shared" si="7"/>
        <v>20686.59</v>
      </c>
      <c r="T101" s="810">
        <f t="shared" ca="1" si="6"/>
        <v>-681</v>
      </c>
      <c r="U101" s="811">
        <v>43701</v>
      </c>
      <c r="V101" s="812" t="s">
        <v>2391</v>
      </c>
      <c r="W101" s="813"/>
      <c r="X101" s="814"/>
      <c r="Y101" s="814"/>
      <c r="Z101" s="814"/>
      <c r="AA101" s="814"/>
      <c r="AB101" s="814"/>
      <c r="AC101" s="815">
        <v>43276</v>
      </c>
      <c r="AD101" s="816">
        <v>42972</v>
      </c>
      <c r="AE101" s="817">
        <f t="shared" ca="1" si="5"/>
        <v>-781</v>
      </c>
      <c r="AF101" s="805" t="s">
        <v>48</v>
      </c>
    </row>
    <row r="102" spans="1:32" s="820" customFormat="1" ht="76.5" x14ac:dyDescent="0.2">
      <c r="A102" s="821" t="s">
        <v>2066</v>
      </c>
      <c r="B102" s="805"/>
      <c r="C102" s="805" t="s">
        <v>2067</v>
      </c>
      <c r="D102" s="806" t="s">
        <v>2068</v>
      </c>
      <c r="E102" s="806" t="s">
        <v>2073</v>
      </c>
      <c r="F102" s="807" t="s">
        <v>2074</v>
      </c>
      <c r="G102" s="808">
        <v>279.75</v>
      </c>
      <c r="H102" s="808">
        <v>279.75</v>
      </c>
      <c r="I102" s="808">
        <v>279.75</v>
      </c>
      <c r="J102" s="808">
        <v>279.75</v>
      </c>
      <c r="K102" s="808">
        <v>279.75</v>
      </c>
      <c r="L102" s="808">
        <v>279.75</v>
      </c>
      <c r="M102" s="808">
        <v>279.75</v>
      </c>
      <c r="N102" s="808">
        <v>279.75</v>
      </c>
      <c r="O102" s="808">
        <v>279.75</v>
      </c>
      <c r="P102" s="808">
        <v>279.75</v>
      </c>
      <c r="Q102" s="808">
        <v>0</v>
      </c>
      <c r="R102" s="808">
        <v>279.75</v>
      </c>
      <c r="S102" s="809">
        <f t="shared" si="7"/>
        <v>3077.25</v>
      </c>
      <c r="T102" s="810">
        <f t="shared" ca="1" si="6"/>
        <v>-681</v>
      </c>
      <c r="U102" s="811">
        <v>43701</v>
      </c>
      <c r="V102" s="812" t="s">
        <v>2391</v>
      </c>
      <c r="W102" s="813"/>
      <c r="X102" s="814"/>
      <c r="Y102" s="814"/>
      <c r="Z102" s="814"/>
      <c r="AA102" s="814"/>
      <c r="AB102" s="814"/>
      <c r="AC102" s="815">
        <v>43276</v>
      </c>
      <c r="AD102" s="816">
        <v>42972</v>
      </c>
      <c r="AE102" s="817">
        <f t="shared" ca="1" si="5"/>
        <v>-781</v>
      </c>
      <c r="AF102" s="805" t="s">
        <v>48</v>
      </c>
    </row>
    <row r="103" spans="1:32" s="820" customFormat="1" ht="38.25" x14ac:dyDescent="0.2">
      <c r="A103" s="821" t="s">
        <v>2077</v>
      </c>
      <c r="B103" s="805" t="s">
        <v>2062</v>
      </c>
      <c r="C103" s="805"/>
      <c r="D103" s="806" t="s">
        <v>2078</v>
      </c>
      <c r="E103" s="806" t="s">
        <v>2079</v>
      </c>
      <c r="F103" s="807">
        <v>9600</v>
      </c>
      <c r="G103" s="808">
        <v>800</v>
      </c>
      <c r="H103" s="808">
        <v>800</v>
      </c>
      <c r="I103" s="808">
        <v>800</v>
      </c>
      <c r="J103" s="808">
        <v>800</v>
      </c>
      <c r="K103" s="808">
        <v>800</v>
      </c>
      <c r="L103" s="808">
        <f>800+800</f>
        <v>1600</v>
      </c>
      <c r="M103" s="808">
        <v>800</v>
      </c>
      <c r="N103" s="808">
        <v>800</v>
      </c>
      <c r="O103" s="808">
        <v>800</v>
      </c>
      <c r="P103" s="808">
        <v>800</v>
      </c>
      <c r="Q103" s="808">
        <v>0</v>
      </c>
      <c r="R103" s="808">
        <v>800</v>
      </c>
      <c r="S103" s="809">
        <f t="shared" si="7"/>
        <v>9600</v>
      </c>
      <c r="T103" s="810">
        <f t="shared" ca="1" si="6"/>
        <v>-1039</v>
      </c>
      <c r="U103" s="811">
        <v>43343</v>
      </c>
      <c r="V103" s="812" t="s">
        <v>2065</v>
      </c>
      <c r="W103" s="813"/>
      <c r="X103" s="814"/>
      <c r="Y103" s="814"/>
      <c r="Z103" s="814"/>
      <c r="AA103" s="814"/>
      <c r="AB103" s="814"/>
      <c r="AC103" s="815">
        <v>43297</v>
      </c>
      <c r="AD103" s="816">
        <v>42979</v>
      </c>
      <c r="AE103" s="817">
        <f t="shared" ca="1" si="5"/>
        <v>-788</v>
      </c>
      <c r="AF103" s="805" t="s">
        <v>48</v>
      </c>
    </row>
    <row r="104" spans="1:32" s="820" customFormat="1" ht="25.5" x14ac:dyDescent="0.2">
      <c r="A104" s="821" t="s">
        <v>1756</v>
      </c>
      <c r="B104" s="805" t="s">
        <v>2091</v>
      </c>
      <c r="C104" s="805"/>
      <c r="D104" s="806" t="s">
        <v>2092</v>
      </c>
      <c r="E104" s="806" t="s">
        <v>1798</v>
      </c>
      <c r="F104" s="807">
        <v>0</v>
      </c>
      <c r="G104" s="808">
        <v>0</v>
      </c>
      <c r="H104" s="808">
        <v>621.69000000000005</v>
      </c>
      <c r="I104" s="808">
        <v>0</v>
      </c>
      <c r="J104" s="808">
        <v>0</v>
      </c>
      <c r="K104" s="808">
        <v>0</v>
      </c>
      <c r="L104" s="808">
        <v>0</v>
      </c>
      <c r="M104" s="808">
        <v>0</v>
      </c>
      <c r="N104" s="808">
        <v>0</v>
      </c>
      <c r="O104" s="808">
        <v>0</v>
      </c>
      <c r="P104" s="808">
        <v>1037.8599999999999</v>
      </c>
      <c r="Q104" s="808">
        <v>0</v>
      </c>
      <c r="R104" s="808">
        <v>0</v>
      </c>
      <c r="S104" s="809">
        <f t="shared" si="7"/>
        <v>1659.55</v>
      </c>
      <c r="T104" s="810">
        <f t="shared" ca="1" si="6"/>
        <v>-931</v>
      </c>
      <c r="U104" s="811">
        <v>43451</v>
      </c>
      <c r="V104" s="812" t="s">
        <v>2125</v>
      </c>
      <c r="W104" s="813"/>
      <c r="X104" s="814"/>
      <c r="Y104" s="814"/>
      <c r="Z104" s="814"/>
      <c r="AA104" s="814"/>
      <c r="AB104" s="814"/>
      <c r="AC104" s="815">
        <v>43340</v>
      </c>
      <c r="AD104" s="816">
        <v>43025</v>
      </c>
      <c r="AE104" s="817">
        <f t="shared" ca="1" si="5"/>
        <v>-834</v>
      </c>
      <c r="AF104" s="805" t="s">
        <v>1988</v>
      </c>
    </row>
    <row r="105" spans="1:32" s="820" customFormat="1" ht="38.25" x14ac:dyDescent="0.2">
      <c r="A105" s="821" t="s">
        <v>2096</v>
      </c>
      <c r="B105" s="805" t="s">
        <v>2062</v>
      </c>
      <c r="C105" s="805" t="s">
        <v>2415</v>
      </c>
      <c r="D105" s="806" t="s">
        <v>2097</v>
      </c>
      <c r="E105" s="806" t="s">
        <v>2098</v>
      </c>
      <c r="F105" s="807">
        <v>8800</v>
      </c>
      <c r="G105" s="808">
        <v>0</v>
      </c>
      <c r="H105" s="808">
        <v>0</v>
      </c>
      <c r="I105" s="808">
        <v>0</v>
      </c>
      <c r="J105" s="808">
        <v>1000</v>
      </c>
      <c r="K105" s="808">
        <v>0</v>
      </c>
      <c r="L105" s="808">
        <v>0</v>
      </c>
      <c r="M105" s="808">
        <v>0</v>
      </c>
      <c r="N105" s="808">
        <v>0</v>
      </c>
      <c r="O105" s="808">
        <v>0</v>
      </c>
      <c r="P105" s="808">
        <v>0</v>
      </c>
      <c r="Q105" s="808">
        <v>0</v>
      </c>
      <c r="R105" s="808">
        <v>0</v>
      </c>
      <c r="S105" s="809">
        <f t="shared" si="7"/>
        <v>1000</v>
      </c>
      <c r="T105" s="810">
        <f t="shared" ca="1" si="6"/>
        <v>-556</v>
      </c>
      <c r="U105" s="811">
        <v>43826</v>
      </c>
      <c r="V105" s="812" t="s">
        <v>2099</v>
      </c>
      <c r="W105" s="813"/>
      <c r="X105" s="814"/>
      <c r="Y105" s="814"/>
      <c r="Z105" s="814"/>
      <c r="AA105" s="814"/>
      <c r="AB105" s="814"/>
      <c r="AC105" s="815"/>
      <c r="AD105" s="816">
        <v>43097</v>
      </c>
      <c r="AE105" s="817">
        <f t="shared" ca="1" si="5"/>
        <v>-906</v>
      </c>
      <c r="AF105" s="805" t="s">
        <v>41</v>
      </c>
    </row>
    <row r="106" spans="1:32" s="820" customFormat="1" ht="178.5" x14ac:dyDescent="0.2">
      <c r="A106" s="821" t="s">
        <v>2101</v>
      </c>
      <c r="B106" s="805"/>
      <c r="C106" s="805" t="s">
        <v>2102</v>
      </c>
      <c r="D106" s="806" t="s">
        <v>2103</v>
      </c>
      <c r="E106" s="806" t="s">
        <v>2104</v>
      </c>
      <c r="F106" s="807">
        <v>3100000</v>
      </c>
      <c r="G106" s="836">
        <v>51022.49</v>
      </c>
      <c r="H106" s="836">
        <v>64583.34</v>
      </c>
      <c r="I106" s="836">
        <v>64583.34</v>
      </c>
      <c r="J106" s="836">
        <v>64583.34</v>
      </c>
      <c r="K106" s="836">
        <v>62000</v>
      </c>
      <c r="L106" s="836">
        <v>64583.34</v>
      </c>
      <c r="M106" s="836">
        <v>64583.34</v>
      </c>
      <c r="N106" s="836">
        <v>57583.33</v>
      </c>
      <c r="O106" s="836">
        <v>62645.84</v>
      </c>
      <c r="P106" s="836">
        <v>64583.33</v>
      </c>
      <c r="Q106" s="836">
        <v>42083.33</v>
      </c>
      <c r="R106" s="836">
        <v>62645.84</v>
      </c>
      <c r="S106" s="809">
        <f t="shared" si="7"/>
        <v>725480.85999999987</v>
      </c>
      <c r="T106" s="810">
        <f t="shared" ca="1" si="6"/>
        <v>176</v>
      </c>
      <c r="U106" s="811">
        <v>44558</v>
      </c>
      <c r="V106" s="812" t="s">
        <v>2105</v>
      </c>
      <c r="W106" s="813"/>
      <c r="X106" s="814"/>
      <c r="Y106" s="814"/>
      <c r="Z106" s="814"/>
      <c r="AA106" s="814"/>
      <c r="AB106" s="814"/>
      <c r="AC106" s="815"/>
      <c r="AD106" s="816">
        <v>43098</v>
      </c>
      <c r="AE106" s="817">
        <f t="shared" ca="1" si="5"/>
        <v>-907</v>
      </c>
      <c r="AF106" s="805" t="s">
        <v>41</v>
      </c>
    </row>
    <row r="107" spans="1:32" s="820" customFormat="1" ht="25.5" x14ac:dyDescent="0.2">
      <c r="A107" s="821" t="s">
        <v>1756</v>
      </c>
      <c r="B107" s="805" t="s">
        <v>2091</v>
      </c>
      <c r="C107" s="805"/>
      <c r="D107" s="806" t="s">
        <v>2107</v>
      </c>
      <c r="E107" s="806" t="s">
        <v>1798</v>
      </c>
      <c r="F107" s="807">
        <v>0</v>
      </c>
      <c r="G107" s="808">
        <v>0</v>
      </c>
      <c r="H107" s="808">
        <v>0</v>
      </c>
      <c r="I107" s="808">
        <v>0</v>
      </c>
      <c r="J107" s="808">
        <v>0</v>
      </c>
      <c r="K107" s="808">
        <v>0</v>
      </c>
      <c r="L107" s="808">
        <v>0</v>
      </c>
      <c r="M107" s="808">
        <v>0</v>
      </c>
      <c r="N107" s="808">
        <v>0</v>
      </c>
      <c r="O107" s="808">
        <v>0</v>
      </c>
      <c r="P107" s="808">
        <v>0</v>
      </c>
      <c r="Q107" s="808">
        <v>0</v>
      </c>
      <c r="R107" s="808">
        <v>0</v>
      </c>
      <c r="S107" s="809">
        <f t="shared" si="7"/>
        <v>0</v>
      </c>
      <c r="T107" s="810">
        <f t="shared" ca="1" si="6"/>
        <v>-931</v>
      </c>
      <c r="U107" s="811">
        <v>43451</v>
      </c>
      <c r="V107" s="812" t="s">
        <v>2108</v>
      </c>
      <c r="W107" s="813"/>
      <c r="X107" s="814"/>
      <c r="Y107" s="814"/>
      <c r="Z107" s="814"/>
      <c r="AA107" s="814"/>
      <c r="AB107" s="814"/>
      <c r="AC107" s="815">
        <v>43395</v>
      </c>
      <c r="AD107" s="816">
        <v>43070</v>
      </c>
      <c r="AE107" s="817">
        <f t="shared" ca="1" si="5"/>
        <v>-879</v>
      </c>
      <c r="AF107" s="805" t="s">
        <v>1988</v>
      </c>
    </row>
    <row r="108" spans="1:32" s="820" customFormat="1" ht="51" x14ac:dyDescent="0.2">
      <c r="A108" s="821" t="s">
        <v>2114</v>
      </c>
      <c r="B108" s="805" t="s">
        <v>1840</v>
      </c>
      <c r="C108" s="805"/>
      <c r="D108" s="806" t="s">
        <v>2115</v>
      </c>
      <c r="E108" s="806" t="s">
        <v>2116</v>
      </c>
      <c r="F108" s="807">
        <v>8854.4699999999993</v>
      </c>
      <c r="G108" s="808">
        <v>0</v>
      </c>
      <c r="H108" s="808">
        <v>0</v>
      </c>
      <c r="I108" s="808">
        <v>0</v>
      </c>
      <c r="J108" s="808">
        <v>0</v>
      </c>
      <c r="K108" s="808">
        <v>8854.0300000000007</v>
      </c>
      <c r="L108" s="808">
        <v>0</v>
      </c>
      <c r="M108" s="808">
        <v>0</v>
      </c>
      <c r="N108" s="808">
        <v>0</v>
      </c>
      <c r="O108" s="808">
        <v>0</v>
      </c>
      <c r="P108" s="808">
        <v>0</v>
      </c>
      <c r="Q108" s="808">
        <v>0</v>
      </c>
      <c r="R108" s="808">
        <v>0</v>
      </c>
      <c r="S108" s="809">
        <f t="shared" si="7"/>
        <v>8854.0300000000007</v>
      </c>
      <c r="T108" s="810">
        <f t="shared" ca="1" si="6"/>
        <v>-1261</v>
      </c>
      <c r="U108" s="811">
        <v>43121</v>
      </c>
      <c r="V108" s="812" t="s">
        <v>2117</v>
      </c>
      <c r="W108" s="813" t="s">
        <v>2130</v>
      </c>
      <c r="X108" s="814"/>
      <c r="Y108" s="814"/>
      <c r="Z108" s="814"/>
      <c r="AA108" s="814"/>
      <c r="AB108" s="814"/>
      <c r="AC108" s="815"/>
      <c r="AD108" s="816">
        <v>43091</v>
      </c>
      <c r="AE108" s="817">
        <f t="shared" ca="1" si="5"/>
        <v>-900</v>
      </c>
      <c r="AF108" s="805" t="s">
        <v>96</v>
      </c>
    </row>
    <row r="109" spans="1:32" s="820" customFormat="1" ht="38.25" x14ac:dyDescent="0.2">
      <c r="A109" s="821" t="s">
        <v>2118</v>
      </c>
      <c r="B109" s="805" t="s">
        <v>1840</v>
      </c>
      <c r="C109" s="805" t="s">
        <v>2413</v>
      </c>
      <c r="D109" s="806" t="s">
        <v>340</v>
      </c>
      <c r="E109" s="806" t="s">
        <v>2119</v>
      </c>
      <c r="F109" s="807">
        <v>11571.07</v>
      </c>
      <c r="G109" s="808">
        <v>0</v>
      </c>
      <c r="H109" s="808">
        <v>2925.86</v>
      </c>
      <c r="I109" s="808">
        <f>349.63+349.63</f>
        <v>699.26</v>
      </c>
      <c r="J109" s="808">
        <f>333.37+1903.07</f>
        <v>2236.44</v>
      </c>
      <c r="K109" s="808">
        <v>349.63</v>
      </c>
      <c r="L109" s="808">
        <v>349.63</v>
      </c>
      <c r="M109" s="808">
        <v>349.63</v>
      </c>
      <c r="N109" s="808">
        <f>349.63+595.59</f>
        <v>945.22</v>
      </c>
      <c r="O109" s="808">
        <v>349.63</v>
      </c>
      <c r="P109" s="808">
        <v>349.63</v>
      </c>
      <c r="Q109" s="808">
        <v>349.63</v>
      </c>
      <c r="R109" s="808">
        <v>349.63</v>
      </c>
      <c r="S109" s="809">
        <f>SUM(G109:R109)</f>
        <v>9254.1899999999969</v>
      </c>
      <c r="T109" s="810">
        <f t="shared" ca="1" si="6"/>
        <v>-928</v>
      </c>
      <c r="U109" s="811">
        <v>43454</v>
      </c>
      <c r="V109" s="812" t="s">
        <v>2120</v>
      </c>
      <c r="W109" s="813"/>
      <c r="X109" s="814"/>
      <c r="Y109" s="814"/>
      <c r="Z109" s="814"/>
      <c r="AA109" s="814"/>
      <c r="AB109" s="814"/>
      <c r="AC109" s="815">
        <v>43395</v>
      </c>
      <c r="AD109" s="816">
        <v>43090</v>
      </c>
      <c r="AE109" s="817">
        <f t="shared" ref="AE109:AE115" ca="1" si="8">TODAY()-DATE(YEAR(AD109)+6,MONTH(AD109),DAY(AD109))</f>
        <v>-899</v>
      </c>
      <c r="AF109" s="805" t="s">
        <v>96</v>
      </c>
    </row>
    <row r="110" spans="1:32" s="820" customFormat="1" ht="51" x14ac:dyDescent="0.2">
      <c r="A110" s="821" t="s">
        <v>2121</v>
      </c>
      <c r="B110" s="805" t="s">
        <v>1593</v>
      </c>
      <c r="C110" s="805" t="s">
        <v>2122</v>
      </c>
      <c r="D110" s="806" t="s">
        <v>2123</v>
      </c>
      <c r="E110" s="806" t="s">
        <v>1534</v>
      </c>
      <c r="F110" s="807">
        <v>74052.33</v>
      </c>
      <c r="G110" s="808">
        <v>0</v>
      </c>
      <c r="H110" s="808">
        <v>0</v>
      </c>
      <c r="I110" s="808">
        <v>1445.56</v>
      </c>
      <c r="J110" s="808">
        <v>3665.62</v>
      </c>
      <c r="K110" s="808">
        <v>5065.03</v>
      </c>
      <c r="L110" s="808">
        <v>5323.59</v>
      </c>
      <c r="M110" s="808">
        <v>4442.1499999999996</v>
      </c>
      <c r="N110" s="808">
        <v>2553.81</v>
      </c>
      <c r="O110" s="808">
        <v>5231.45</v>
      </c>
      <c r="P110" s="808">
        <v>4495.34</v>
      </c>
      <c r="Q110" s="808">
        <v>4589.3599999999997</v>
      </c>
      <c r="R110" s="808">
        <v>3810.21</v>
      </c>
      <c r="S110" s="809">
        <f t="shared" ref="S110:S115" si="9">SUM(G110:R110)</f>
        <v>40622.119999999995</v>
      </c>
      <c r="T110" s="810">
        <f t="shared" ca="1" si="6"/>
        <v>-561</v>
      </c>
      <c r="U110" s="811">
        <v>43821</v>
      </c>
      <c r="V110" s="812" t="s">
        <v>2294</v>
      </c>
      <c r="W110" s="813"/>
      <c r="X110" s="814"/>
      <c r="Y110" s="814"/>
      <c r="Z110" s="814"/>
      <c r="AA110" s="814"/>
      <c r="AB110" s="814"/>
      <c r="AC110" s="815"/>
      <c r="AD110" s="816">
        <v>43091</v>
      </c>
      <c r="AE110" s="817">
        <f t="shared" ca="1" si="8"/>
        <v>-900</v>
      </c>
      <c r="AF110" s="805" t="s">
        <v>48</v>
      </c>
    </row>
    <row r="111" spans="1:32" s="820" customFormat="1" ht="81" customHeight="1" x14ac:dyDescent="0.2">
      <c r="A111" s="821" t="s">
        <v>2131</v>
      </c>
      <c r="B111" s="805"/>
      <c r="C111" s="805"/>
      <c r="D111" s="806" t="s">
        <v>2132</v>
      </c>
      <c r="E111" s="806" t="s">
        <v>2273</v>
      </c>
      <c r="F111" s="807" t="s">
        <v>2274</v>
      </c>
      <c r="G111" s="808">
        <v>0</v>
      </c>
      <c r="H111" s="808">
        <v>0</v>
      </c>
      <c r="I111" s="808">
        <v>0</v>
      </c>
      <c r="J111" s="808">
        <v>0</v>
      </c>
      <c r="K111" s="808">
        <v>0</v>
      </c>
      <c r="L111" s="808">
        <v>0</v>
      </c>
      <c r="M111" s="808">
        <v>0</v>
      </c>
      <c r="N111" s="808">
        <v>0</v>
      </c>
      <c r="O111" s="808">
        <v>0</v>
      </c>
      <c r="P111" s="808">
        <v>0</v>
      </c>
      <c r="Q111" s="808">
        <v>0</v>
      </c>
      <c r="R111" s="808">
        <v>0</v>
      </c>
      <c r="S111" s="809">
        <f t="shared" si="9"/>
        <v>0</v>
      </c>
      <c r="T111" s="810">
        <f t="shared" ca="1" si="6"/>
        <v>667</v>
      </c>
      <c r="U111" s="811">
        <v>45049</v>
      </c>
      <c r="V111" s="812" t="s">
        <v>2133</v>
      </c>
      <c r="W111" s="813"/>
      <c r="X111" s="814"/>
      <c r="Y111" s="814"/>
      <c r="Z111" s="814"/>
      <c r="AA111" s="814"/>
      <c r="AB111" s="814"/>
      <c r="AC111" s="815"/>
      <c r="AD111" s="816">
        <v>43224</v>
      </c>
      <c r="AE111" s="817">
        <f t="shared" ca="1" si="8"/>
        <v>-1034</v>
      </c>
      <c r="AF111" s="805" t="s">
        <v>96</v>
      </c>
    </row>
    <row r="112" spans="1:32" s="820" customFormat="1" ht="25.5" x14ac:dyDescent="0.2">
      <c r="A112" s="821" t="s">
        <v>1756</v>
      </c>
      <c r="B112" s="805"/>
      <c r="C112" s="805"/>
      <c r="D112" s="806" t="s">
        <v>1760</v>
      </c>
      <c r="E112" s="806" t="s">
        <v>1798</v>
      </c>
      <c r="F112" s="807">
        <v>0</v>
      </c>
      <c r="G112" s="808">
        <v>0</v>
      </c>
      <c r="H112" s="808">
        <v>0</v>
      </c>
      <c r="I112" s="808">
        <v>0</v>
      </c>
      <c r="J112" s="808">
        <v>0</v>
      </c>
      <c r="K112" s="808">
        <f>491.53+341.86</f>
        <v>833.39</v>
      </c>
      <c r="L112" s="808">
        <v>0</v>
      </c>
      <c r="M112" s="808">
        <v>0</v>
      </c>
      <c r="N112" s="808">
        <v>639.74</v>
      </c>
      <c r="O112" s="808">
        <v>0</v>
      </c>
      <c r="P112" s="808">
        <f>639.77+735.67</f>
        <v>1375.44</v>
      </c>
      <c r="Q112" s="808">
        <v>0</v>
      </c>
      <c r="R112" s="808">
        <v>0</v>
      </c>
      <c r="S112" s="809">
        <f t="shared" si="9"/>
        <v>2848.57</v>
      </c>
      <c r="T112" s="810">
        <f t="shared" ca="1" si="6"/>
        <v>-990</v>
      </c>
      <c r="U112" s="811">
        <v>43392</v>
      </c>
      <c r="V112" s="812" t="s">
        <v>2276</v>
      </c>
      <c r="W112" s="813"/>
      <c r="X112" s="814"/>
      <c r="Y112" s="814"/>
      <c r="Z112" s="814"/>
      <c r="AA112" s="814"/>
      <c r="AB112" s="814"/>
      <c r="AC112" s="815">
        <v>43340</v>
      </c>
      <c r="AD112" s="816">
        <v>43028</v>
      </c>
      <c r="AE112" s="817">
        <f t="shared" ca="1" si="8"/>
        <v>-837</v>
      </c>
      <c r="AF112" s="805" t="s">
        <v>1988</v>
      </c>
    </row>
    <row r="113" spans="1:32" s="820" customFormat="1" ht="38.25" x14ac:dyDescent="0.2">
      <c r="A113" s="821" t="s">
        <v>2139</v>
      </c>
      <c r="B113" s="805"/>
      <c r="C113" s="805" t="s">
        <v>2414</v>
      </c>
      <c r="D113" s="806" t="s">
        <v>1632</v>
      </c>
      <c r="E113" s="806" t="s">
        <v>2140</v>
      </c>
      <c r="F113" s="807">
        <v>166463.28</v>
      </c>
      <c r="G113" s="808">
        <f>5005.32+5002.32</f>
        <v>10007.64</v>
      </c>
      <c r="H113" s="808">
        <v>5005.32</v>
      </c>
      <c r="I113" s="808">
        <v>5005.32</v>
      </c>
      <c r="J113" s="808">
        <v>0</v>
      </c>
      <c r="K113" s="808">
        <f>3497.6+5005.32+5005.32</f>
        <v>13508.24</v>
      </c>
      <c r="L113" s="808">
        <f>4998+5005.32</f>
        <v>10003.32</v>
      </c>
      <c r="M113" s="808">
        <f>5005.32+4998</f>
        <v>10003.32</v>
      </c>
      <c r="N113" s="808">
        <f>4998+5005.32</f>
        <v>10003.32</v>
      </c>
      <c r="O113" s="808">
        <f>0</f>
        <v>0</v>
      </c>
      <c r="P113" s="808">
        <f>3808.07+2499+3165.4+4436.97</f>
        <v>13909.439999999999</v>
      </c>
      <c r="Q113" s="808">
        <f>104.13+364.44+2499+4436.97</f>
        <v>7404.5400000000009</v>
      </c>
      <c r="R113" s="808">
        <f>2499+4436.97</f>
        <v>6935.97</v>
      </c>
      <c r="S113" s="809">
        <f t="shared" si="9"/>
        <v>91786.43</v>
      </c>
      <c r="T113" s="810">
        <f t="shared" ca="1" si="6"/>
        <v>-837</v>
      </c>
      <c r="U113" s="811">
        <v>43545</v>
      </c>
      <c r="V113" s="812" t="s">
        <v>2141</v>
      </c>
      <c r="W113" s="813"/>
      <c r="X113" s="814"/>
      <c r="Y113" s="814"/>
      <c r="Z113" s="814"/>
      <c r="AA113" s="814"/>
      <c r="AB113" s="814"/>
      <c r="AC113" s="815">
        <v>43495</v>
      </c>
      <c r="AD113" s="816">
        <v>43181</v>
      </c>
      <c r="AE113" s="817">
        <f t="shared" ca="1" si="8"/>
        <v>-991</v>
      </c>
      <c r="AF113" s="805" t="s">
        <v>48</v>
      </c>
    </row>
    <row r="114" spans="1:32" s="820" customFormat="1" ht="63.75" x14ac:dyDescent="0.2">
      <c r="A114" s="821" t="s">
        <v>2142</v>
      </c>
      <c r="B114" s="805"/>
      <c r="C114" s="805" t="s">
        <v>2416</v>
      </c>
      <c r="D114" s="806" t="s">
        <v>2146</v>
      </c>
      <c r="E114" s="806" t="s">
        <v>2143</v>
      </c>
      <c r="F114" s="807">
        <v>195648</v>
      </c>
      <c r="G114" s="808">
        <v>0</v>
      </c>
      <c r="H114" s="808">
        <v>17264</v>
      </c>
      <c r="I114" s="837">
        <v>18032</v>
      </c>
      <c r="J114" s="837">
        <v>18384</v>
      </c>
      <c r="K114" s="837">
        <v>19264</v>
      </c>
      <c r="L114" s="837">
        <v>15136</v>
      </c>
      <c r="M114" s="837">
        <v>17600</v>
      </c>
      <c r="N114" s="837">
        <v>12832</v>
      </c>
      <c r="O114" s="837">
        <v>14928</v>
      </c>
      <c r="P114" s="837">
        <v>15168</v>
      </c>
      <c r="Q114" s="837">
        <v>12880</v>
      </c>
      <c r="R114" s="837">
        <v>14336</v>
      </c>
      <c r="S114" s="809">
        <f t="shared" si="9"/>
        <v>175824</v>
      </c>
      <c r="T114" s="810">
        <f t="shared" ca="1" si="6"/>
        <v>-838</v>
      </c>
      <c r="U114" s="811">
        <v>43544</v>
      </c>
      <c r="V114" s="812" t="s">
        <v>2144</v>
      </c>
      <c r="W114" s="813"/>
      <c r="X114" s="814"/>
      <c r="Y114" s="814"/>
      <c r="Z114" s="814"/>
      <c r="AA114" s="814"/>
      <c r="AB114" s="814"/>
      <c r="AC114" s="815">
        <v>43494</v>
      </c>
      <c r="AD114" s="816">
        <v>43180</v>
      </c>
      <c r="AE114" s="817">
        <f t="shared" ca="1" si="8"/>
        <v>-990</v>
      </c>
      <c r="AF114" s="805" t="s">
        <v>96</v>
      </c>
    </row>
    <row r="115" spans="1:32" s="820" customFormat="1" ht="89.25" x14ac:dyDescent="0.2">
      <c r="A115" s="821" t="s">
        <v>2150</v>
      </c>
      <c r="B115" s="805"/>
      <c r="C115" s="805" t="s">
        <v>2151</v>
      </c>
      <c r="D115" s="806" t="s">
        <v>2152</v>
      </c>
      <c r="E115" s="806" t="s">
        <v>2153</v>
      </c>
      <c r="F115" s="807">
        <v>0</v>
      </c>
      <c r="G115" s="808">
        <v>0</v>
      </c>
      <c r="H115" s="808">
        <v>0</v>
      </c>
      <c r="I115" s="808">
        <v>0</v>
      </c>
      <c r="J115" s="808">
        <v>0</v>
      </c>
      <c r="K115" s="808">
        <v>0</v>
      </c>
      <c r="L115" s="808">
        <v>0</v>
      </c>
      <c r="M115" s="808">
        <v>0</v>
      </c>
      <c r="N115" s="808">
        <v>0</v>
      </c>
      <c r="O115" s="808">
        <v>0</v>
      </c>
      <c r="P115" s="808">
        <v>0</v>
      </c>
      <c r="Q115" s="808">
        <v>0</v>
      </c>
      <c r="R115" s="808">
        <v>0</v>
      </c>
      <c r="S115" s="809">
        <f t="shared" si="9"/>
        <v>0</v>
      </c>
      <c r="T115" s="810">
        <f t="shared" ca="1" si="6"/>
        <v>-118</v>
      </c>
      <c r="U115" s="811">
        <v>44264</v>
      </c>
      <c r="V115" s="812" t="s">
        <v>2154</v>
      </c>
      <c r="W115" s="813"/>
      <c r="X115" s="814"/>
      <c r="Y115" s="814"/>
      <c r="Z115" s="814"/>
      <c r="AA115" s="814"/>
      <c r="AB115" s="814"/>
      <c r="AC115" s="815"/>
      <c r="AD115" s="816">
        <v>43353</v>
      </c>
      <c r="AE115" s="817">
        <f t="shared" ca="1" si="8"/>
        <v>-1163</v>
      </c>
      <c r="AF115" s="805" t="s">
        <v>1988</v>
      </c>
    </row>
    <row r="116" spans="1:32" s="820" customFormat="1" ht="89.25" x14ac:dyDescent="0.2">
      <c r="A116" s="821" t="s">
        <v>2150</v>
      </c>
      <c r="B116" s="805"/>
      <c r="C116" s="805" t="s">
        <v>2151</v>
      </c>
      <c r="D116" s="806" t="s">
        <v>2155</v>
      </c>
      <c r="E116" s="806" t="s">
        <v>2153</v>
      </c>
      <c r="F116" s="807">
        <v>0</v>
      </c>
      <c r="G116" s="808">
        <v>0</v>
      </c>
      <c r="H116" s="808">
        <v>0</v>
      </c>
      <c r="I116" s="808">
        <v>0</v>
      </c>
      <c r="J116" s="808">
        <v>0</v>
      </c>
      <c r="K116" s="808">
        <v>0</v>
      </c>
      <c r="L116" s="808">
        <v>0</v>
      </c>
      <c r="M116" s="808">
        <v>0</v>
      </c>
      <c r="N116" s="808">
        <v>0</v>
      </c>
      <c r="O116" s="808">
        <v>0</v>
      </c>
      <c r="P116" s="808">
        <v>0</v>
      </c>
      <c r="Q116" s="808">
        <v>0</v>
      </c>
      <c r="R116" s="808">
        <v>0</v>
      </c>
      <c r="S116" s="809">
        <f t="shared" ref="S116:S136" si="10">SUM(G116:R116)</f>
        <v>0</v>
      </c>
      <c r="T116" s="810">
        <f t="shared" ca="1" si="6"/>
        <v>-118</v>
      </c>
      <c r="U116" s="811">
        <v>44264</v>
      </c>
      <c r="V116" s="812" t="s">
        <v>2154</v>
      </c>
      <c r="W116" s="813"/>
      <c r="X116" s="814"/>
      <c r="Y116" s="814"/>
      <c r="Z116" s="814"/>
      <c r="AA116" s="814"/>
      <c r="AB116" s="814"/>
      <c r="AC116" s="815"/>
      <c r="AD116" s="816">
        <v>43353</v>
      </c>
      <c r="AE116" s="817">
        <f t="shared" ref="AE116:AE143" ca="1" si="11">TODAY()-DATE(YEAR(AD116)+6,MONTH(AD116),DAY(AD116))</f>
        <v>-1163</v>
      </c>
      <c r="AF116" s="805" t="s">
        <v>1988</v>
      </c>
    </row>
    <row r="117" spans="1:32" s="820" customFormat="1" ht="89.25" x14ac:dyDescent="0.2">
      <c r="A117" s="821" t="s">
        <v>2150</v>
      </c>
      <c r="B117" s="805"/>
      <c r="C117" s="805" t="s">
        <v>2151</v>
      </c>
      <c r="D117" s="806" t="s">
        <v>2158</v>
      </c>
      <c r="E117" s="806" t="s">
        <v>2153</v>
      </c>
      <c r="F117" s="807">
        <v>0</v>
      </c>
      <c r="G117" s="808">
        <v>0</v>
      </c>
      <c r="H117" s="808">
        <v>0</v>
      </c>
      <c r="I117" s="808">
        <v>0</v>
      </c>
      <c r="J117" s="808">
        <v>0</v>
      </c>
      <c r="K117" s="808">
        <v>0</v>
      </c>
      <c r="L117" s="808">
        <v>0</v>
      </c>
      <c r="M117" s="808">
        <v>0</v>
      </c>
      <c r="N117" s="808">
        <v>0</v>
      </c>
      <c r="O117" s="808">
        <v>0</v>
      </c>
      <c r="P117" s="808">
        <v>0</v>
      </c>
      <c r="Q117" s="808">
        <v>0</v>
      </c>
      <c r="R117" s="808">
        <v>0</v>
      </c>
      <c r="S117" s="809">
        <f t="shared" si="10"/>
        <v>0</v>
      </c>
      <c r="T117" s="810">
        <f t="shared" ca="1" si="6"/>
        <v>-134</v>
      </c>
      <c r="U117" s="811">
        <v>44248</v>
      </c>
      <c r="V117" s="812" t="s">
        <v>2184</v>
      </c>
      <c r="W117" s="813"/>
      <c r="X117" s="814"/>
      <c r="Y117" s="814"/>
      <c r="Z117" s="814"/>
      <c r="AA117" s="814"/>
      <c r="AB117" s="814"/>
      <c r="AC117" s="815"/>
      <c r="AD117" s="816">
        <v>43334</v>
      </c>
      <c r="AE117" s="817">
        <f t="shared" ca="1" si="11"/>
        <v>-1144</v>
      </c>
      <c r="AF117" s="805" t="s">
        <v>1988</v>
      </c>
    </row>
    <row r="118" spans="1:32" s="820" customFormat="1" ht="89.25" x14ac:dyDescent="0.2">
      <c r="A118" s="821" t="s">
        <v>2150</v>
      </c>
      <c r="B118" s="805"/>
      <c r="C118" s="805" t="s">
        <v>2151</v>
      </c>
      <c r="D118" s="806" t="s">
        <v>2159</v>
      </c>
      <c r="E118" s="806" t="s">
        <v>2153</v>
      </c>
      <c r="F118" s="807">
        <v>0</v>
      </c>
      <c r="G118" s="808">
        <v>0</v>
      </c>
      <c r="H118" s="808">
        <v>0</v>
      </c>
      <c r="I118" s="808">
        <v>0</v>
      </c>
      <c r="J118" s="808">
        <v>0</v>
      </c>
      <c r="K118" s="808">
        <v>0</v>
      </c>
      <c r="L118" s="808">
        <v>0</v>
      </c>
      <c r="M118" s="808">
        <v>0</v>
      </c>
      <c r="N118" s="808">
        <v>0</v>
      </c>
      <c r="O118" s="808">
        <v>0</v>
      </c>
      <c r="P118" s="808">
        <v>0</v>
      </c>
      <c r="Q118" s="808">
        <v>0</v>
      </c>
      <c r="R118" s="808">
        <v>0</v>
      </c>
      <c r="S118" s="809">
        <f t="shared" si="10"/>
        <v>0</v>
      </c>
      <c r="T118" s="810">
        <f t="shared" ca="1" si="6"/>
        <v>-142</v>
      </c>
      <c r="U118" s="811">
        <v>44240</v>
      </c>
      <c r="V118" s="812" t="s">
        <v>2189</v>
      </c>
      <c r="W118" s="813"/>
      <c r="X118" s="814"/>
      <c r="Y118" s="814"/>
      <c r="Z118" s="814"/>
      <c r="AA118" s="814"/>
      <c r="AB118" s="814"/>
      <c r="AC118" s="815"/>
      <c r="AD118" s="816">
        <v>43326</v>
      </c>
      <c r="AE118" s="817">
        <f t="shared" ca="1" si="11"/>
        <v>-1136</v>
      </c>
      <c r="AF118" s="805" t="s">
        <v>1988</v>
      </c>
    </row>
    <row r="119" spans="1:32" s="820" customFormat="1" ht="89.25" x14ac:dyDescent="0.2">
      <c r="A119" s="821" t="s">
        <v>2150</v>
      </c>
      <c r="B119" s="805"/>
      <c r="C119" s="805" t="s">
        <v>2151</v>
      </c>
      <c r="D119" s="806" t="s">
        <v>2160</v>
      </c>
      <c r="E119" s="806" t="s">
        <v>2153</v>
      </c>
      <c r="F119" s="807">
        <v>0</v>
      </c>
      <c r="G119" s="808">
        <v>0</v>
      </c>
      <c r="H119" s="808">
        <v>0</v>
      </c>
      <c r="I119" s="808">
        <v>0</v>
      </c>
      <c r="J119" s="808">
        <v>0</v>
      </c>
      <c r="K119" s="808">
        <v>0</v>
      </c>
      <c r="L119" s="808">
        <v>0</v>
      </c>
      <c r="M119" s="808">
        <v>0</v>
      </c>
      <c r="N119" s="808">
        <v>0</v>
      </c>
      <c r="O119" s="808">
        <v>0</v>
      </c>
      <c r="P119" s="808">
        <v>0</v>
      </c>
      <c r="Q119" s="808">
        <v>0</v>
      </c>
      <c r="R119" s="808">
        <v>0</v>
      </c>
      <c r="S119" s="809">
        <f t="shared" si="10"/>
        <v>0</v>
      </c>
      <c r="T119" s="810">
        <f t="shared" ca="1" si="6"/>
        <v>-142</v>
      </c>
      <c r="U119" s="811">
        <v>44240</v>
      </c>
      <c r="V119" s="812" t="s">
        <v>2189</v>
      </c>
      <c r="W119" s="813"/>
      <c r="X119" s="814"/>
      <c r="Y119" s="814"/>
      <c r="Z119" s="814"/>
      <c r="AA119" s="814"/>
      <c r="AB119" s="814"/>
      <c r="AC119" s="815"/>
      <c r="AD119" s="816">
        <v>43326</v>
      </c>
      <c r="AE119" s="817">
        <f t="shared" ca="1" si="11"/>
        <v>-1136</v>
      </c>
      <c r="AF119" s="805" t="s">
        <v>1988</v>
      </c>
    </row>
    <row r="120" spans="1:32" s="820" customFormat="1" ht="89.25" x14ac:dyDescent="0.2">
      <c r="A120" s="821" t="s">
        <v>2150</v>
      </c>
      <c r="B120" s="805"/>
      <c r="C120" s="805" t="s">
        <v>2151</v>
      </c>
      <c r="D120" s="806" t="s">
        <v>2161</v>
      </c>
      <c r="E120" s="806" t="s">
        <v>2153</v>
      </c>
      <c r="F120" s="807">
        <v>0</v>
      </c>
      <c r="G120" s="808">
        <v>0</v>
      </c>
      <c r="H120" s="808">
        <v>0</v>
      </c>
      <c r="I120" s="808">
        <v>0</v>
      </c>
      <c r="J120" s="808">
        <v>0</v>
      </c>
      <c r="K120" s="808">
        <v>0</v>
      </c>
      <c r="L120" s="808">
        <v>0</v>
      </c>
      <c r="M120" s="808">
        <v>0</v>
      </c>
      <c r="N120" s="808">
        <v>0</v>
      </c>
      <c r="O120" s="808">
        <v>0</v>
      </c>
      <c r="P120" s="808">
        <v>0</v>
      </c>
      <c r="Q120" s="808">
        <v>0</v>
      </c>
      <c r="R120" s="808">
        <v>0</v>
      </c>
      <c r="S120" s="809">
        <f t="shared" si="10"/>
        <v>0</v>
      </c>
      <c r="T120" s="810">
        <f t="shared" ca="1" si="6"/>
        <v>-134</v>
      </c>
      <c r="U120" s="811">
        <v>44248</v>
      </c>
      <c r="V120" s="812" t="s">
        <v>2184</v>
      </c>
      <c r="W120" s="813"/>
      <c r="X120" s="814"/>
      <c r="Y120" s="814"/>
      <c r="Z120" s="814"/>
      <c r="AA120" s="814"/>
      <c r="AB120" s="814"/>
      <c r="AC120" s="815"/>
      <c r="AD120" s="816">
        <v>43334</v>
      </c>
      <c r="AE120" s="817">
        <f t="shared" ca="1" si="11"/>
        <v>-1144</v>
      </c>
      <c r="AF120" s="805" t="s">
        <v>1988</v>
      </c>
    </row>
    <row r="121" spans="1:32" s="820" customFormat="1" ht="89.25" x14ac:dyDescent="0.2">
      <c r="A121" s="821" t="s">
        <v>2150</v>
      </c>
      <c r="B121" s="805"/>
      <c r="C121" s="805" t="s">
        <v>2151</v>
      </c>
      <c r="D121" s="806" t="s">
        <v>2162</v>
      </c>
      <c r="E121" s="806" t="s">
        <v>2153</v>
      </c>
      <c r="F121" s="807">
        <v>0</v>
      </c>
      <c r="G121" s="808">
        <v>0</v>
      </c>
      <c r="H121" s="808">
        <v>0</v>
      </c>
      <c r="I121" s="808">
        <v>0</v>
      </c>
      <c r="J121" s="808">
        <v>0</v>
      </c>
      <c r="K121" s="808">
        <v>0</v>
      </c>
      <c r="L121" s="808">
        <v>0</v>
      </c>
      <c r="M121" s="808">
        <v>0</v>
      </c>
      <c r="N121" s="808">
        <v>0</v>
      </c>
      <c r="O121" s="808">
        <v>0</v>
      </c>
      <c r="P121" s="808">
        <v>0</v>
      </c>
      <c r="Q121" s="838">
        <v>0</v>
      </c>
      <c r="R121" s="808">
        <v>0</v>
      </c>
      <c r="S121" s="809">
        <f t="shared" si="10"/>
        <v>0</v>
      </c>
      <c r="T121" s="810">
        <f t="shared" ca="1" si="6"/>
        <v>-134</v>
      </c>
      <c r="U121" s="811">
        <v>44248</v>
      </c>
      <c r="V121" s="812" t="s">
        <v>2184</v>
      </c>
      <c r="W121" s="813"/>
      <c r="X121" s="814"/>
      <c r="Y121" s="814"/>
      <c r="Z121" s="814"/>
      <c r="AA121" s="814"/>
      <c r="AB121" s="814"/>
      <c r="AC121" s="815"/>
      <c r="AD121" s="816">
        <v>43334</v>
      </c>
      <c r="AE121" s="817">
        <f t="shared" ca="1" si="11"/>
        <v>-1144</v>
      </c>
      <c r="AF121" s="805" t="s">
        <v>1988</v>
      </c>
    </row>
    <row r="122" spans="1:32" s="820" customFormat="1" ht="89.25" x14ac:dyDescent="0.2">
      <c r="A122" s="821" t="s">
        <v>2150</v>
      </c>
      <c r="B122" s="805"/>
      <c r="C122" s="805" t="s">
        <v>2151</v>
      </c>
      <c r="D122" s="806" t="s">
        <v>2163</v>
      </c>
      <c r="E122" s="806" t="s">
        <v>2153</v>
      </c>
      <c r="F122" s="807">
        <v>0</v>
      </c>
      <c r="G122" s="808">
        <v>0</v>
      </c>
      <c r="H122" s="808">
        <v>0</v>
      </c>
      <c r="I122" s="808">
        <v>0</v>
      </c>
      <c r="J122" s="808">
        <v>0</v>
      </c>
      <c r="K122" s="808">
        <v>0</v>
      </c>
      <c r="L122" s="808">
        <v>0</v>
      </c>
      <c r="M122" s="808">
        <v>0</v>
      </c>
      <c r="N122" s="808">
        <v>0</v>
      </c>
      <c r="O122" s="808">
        <v>0</v>
      </c>
      <c r="P122" s="808">
        <v>0</v>
      </c>
      <c r="Q122" s="808">
        <v>0</v>
      </c>
      <c r="R122" s="808">
        <v>0</v>
      </c>
      <c r="S122" s="809">
        <f t="shared" si="10"/>
        <v>0</v>
      </c>
      <c r="T122" s="810">
        <f t="shared" ca="1" si="6"/>
        <v>-134</v>
      </c>
      <c r="U122" s="811">
        <v>44248</v>
      </c>
      <c r="V122" s="812" t="s">
        <v>2184</v>
      </c>
      <c r="W122" s="813"/>
      <c r="X122" s="814"/>
      <c r="Y122" s="814"/>
      <c r="Z122" s="814"/>
      <c r="AA122" s="814"/>
      <c r="AB122" s="814"/>
      <c r="AC122" s="815"/>
      <c r="AD122" s="816">
        <v>43334</v>
      </c>
      <c r="AE122" s="817">
        <f t="shared" ca="1" si="11"/>
        <v>-1144</v>
      </c>
      <c r="AF122" s="805" t="s">
        <v>1988</v>
      </c>
    </row>
    <row r="123" spans="1:32" s="820" customFormat="1" ht="89.25" x14ac:dyDescent="0.2">
      <c r="A123" s="821" t="s">
        <v>2150</v>
      </c>
      <c r="B123" s="805"/>
      <c r="C123" s="805" t="s">
        <v>2151</v>
      </c>
      <c r="D123" s="806" t="s">
        <v>2164</v>
      </c>
      <c r="E123" s="806" t="s">
        <v>2153</v>
      </c>
      <c r="F123" s="807">
        <v>0</v>
      </c>
      <c r="G123" s="808">
        <v>0</v>
      </c>
      <c r="H123" s="808">
        <v>0</v>
      </c>
      <c r="I123" s="808">
        <v>0</v>
      </c>
      <c r="J123" s="808">
        <v>0</v>
      </c>
      <c r="K123" s="808">
        <v>0</v>
      </c>
      <c r="L123" s="808">
        <v>0</v>
      </c>
      <c r="M123" s="808">
        <v>0</v>
      </c>
      <c r="N123" s="808">
        <v>0</v>
      </c>
      <c r="O123" s="808">
        <v>0</v>
      </c>
      <c r="P123" s="808">
        <v>0</v>
      </c>
      <c r="Q123" s="808">
        <v>0</v>
      </c>
      <c r="R123" s="808">
        <v>0</v>
      </c>
      <c r="S123" s="809">
        <f t="shared" si="10"/>
        <v>0</v>
      </c>
      <c r="T123" s="810">
        <f t="shared" ca="1" si="6"/>
        <v>-142</v>
      </c>
      <c r="U123" s="811">
        <v>44240</v>
      </c>
      <c r="V123" s="812" t="s">
        <v>2189</v>
      </c>
      <c r="W123" s="813"/>
      <c r="X123" s="814"/>
      <c r="Y123" s="814"/>
      <c r="Z123" s="814"/>
      <c r="AA123" s="814"/>
      <c r="AB123" s="814"/>
      <c r="AC123" s="815"/>
      <c r="AD123" s="816">
        <v>43326</v>
      </c>
      <c r="AE123" s="817">
        <f t="shared" ca="1" si="11"/>
        <v>-1136</v>
      </c>
      <c r="AF123" s="805" t="s">
        <v>1988</v>
      </c>
    </row>
    <row r="124" spans="1:32" s="820" customFormat="1" ht="89.25" x14ac:dyDescent="0.2">
      <c r="A124" s="821" t="s">
        <v>2150</v>
      </c>
      <c r="B124" s="805"/>
      <c r="C124" s="805" t="s">
        <v>2151</v>
      </c>
      <c r="D124" s="806" t="s">
        <v>2165</v>
      </c>
      <c r="E124" s="806" t="s">
        <v>2153</v>
      </c>
      <c r="F124" s="807">
        <v>0</v>
      </c>
      <c r="G124" s="808">
        <v>0</v>
      </c>
      <c r="H124" s="808">
        <v>0</v>
      </c>
      <c r="I124" s="808">
        <v>0</v>
      </c>
      <c r="J124" s="808">
        <v>0</v>
      </c>
      <c r="K124" s="808">
        <v>0</v>
      </c>
      <c r="L124" s="808">
        <v>0</v>
      </c>
      <c r="M124" s="808">
        <v>0</v>
      </c>
      <c r="N124" s="808">
        <v>0</v>
      </c>
      <c r="O124" s="808">
        <v>0</v>
      </c>
      <c r="P124" s="808">
        <v>0</v>
      </c>
      <c r="Q124" s="808">
        <v>0</v>
      </c>
      <c r="R124" s="808">
        <v>0</v>
      </c>
      <c r="S124" s="809">
        <f t="shared" si="10"/>
        <v>0</v>
      </c>
      <c r="T124" s="810">
        <f t="shared" ca="1" si="6"/>
        <v>-142</v>
      </c>
      <c r="U124" s="811">
        <v>44240</v>
      </c>
      <c r="V124" s="812" t="s">
        <v>2189</v>
      </c>
      <c r="W124" s="813"/>
      <c r="X124" s="814"/>
      <c r="Y124" s="814"/>
      <c r="Z124" s="814"/>
      <c r="AA124" s="814"/>
      <c r="AB124" s="814"/>
      <c r="AC124" s="815"/>
      <c r="AD124" s="816">
        <v>43326</v>
      </c>
      <c r="AE124" s="817">
        <f t="shared" ca="1" si="11"/>
        <v>-1136</v>
      </c>
      <c r="AF124" s="805" t="s">
        <v>1988</v>
      </c>
    </row>
    <row r="125" spans="1:32" s="820" customFormat="1" ht="89.25" x14ac:dyDescent="0.2">
      <c r="A125" s="821" t="s">
        <v>2150</v>
      </c>
      <c r="B125" s="805"/>
      <c r="C125" s="805" t="s">
        <v>2151</v>
      </c>
      <c r="D125" s="806" t="s">
        <v>2166</v>
      </c>
      <c r="E125" s="806" t="s">
        <v>2153</v>
      </c>
      <c r="F125" s="807">
        <v>0</v>
      </c>
      <c r="G125" s="808">
        <v>0</v>
      </c>
      <c r="H125" s="808">
        <v>0</v>
      </c>
      <c r="I125" s="808">
        <v>0</v>
      </c>
      <c r="J125" s="808">
        <v>0</v>
      </c>
      <c r="K125" s="808">
        <v>0</v>
      </c>
      <c r="L125" s="808">
        <v>0</v>
      </c>
      <c r="M125" s="808">
        <v>0</v>
      </c>
      <c r="N125" s="808">
        <v>0</v>
      </c>
      <c r="O125" s="808">
        <v>0</v>
      </c>
      <c r="P125" s="808">
        <v>0</v>
      </c>
      <c r="Q125" s="808">
        <v>0</v>
      </c>
      <c r="R125" s="808">
        <v>0</v>
      </c>
      <c r="S125" s="809">
        <f t="shared" si="10"/>
        <v>0</v>
      </c>
      <c r="T125" s="810">
        <f t="shared" ca="1" si="6"/>
        <v>-134</v>
      </c>
      <c r="U125" s="811">
        <v>44248</v>
      </c>
      <c r="V125" s="812" t="s">
        <v>2184</v>
      </c>
      <c r="W125" s="813"/>
      <c r="X125" s="814"/>
      <c r="Y125" s="814"/>
      <c r="Z125" s="814"/>
      <c r="AA125" s="814"/>
      <c r="AB125" s="814"/>
      <c r="AC125" s="815"/>
      <c r="AD125" s="816">
        <v>43334</v>
      </c>
      <c r="AE125" s="817">
        <f t="shared" ca="1" si="11"/>
        <v>-1144</v>
      </c>
      <c r="AF125" s="805" t="s">
        <v>1988</v>
      </c>
    </row>
    <row r="126" spans="1:32" s="820" customFormat="1" ht="89.25" x14ac:dyDescent="0.2">
      <c r="A126" s="821" t="s">
        <v>2150</v>
      </c>
      <c r="B126" s="805"/>
      <c r="C126" s="805" t="s">
        <v>2151</v>
      </c>
      <c r="D126" s="806" t="s">
        <v>2167</v>
      </c>
      <c r="E126" s="806" t="s">
        <v>2153</v>
      </c>
      <c r="F126" s="807">
        <v>0</v>
      </c>
      <c r="G126" s="808">
        <v>0</v>
      </c>
      <c r="H126" s="808">
        <v>0</v>
      </c>
      <c r="I126" s="808">
        <v>0</v>
      </c>
      <c r="J126" s="808">
        <v>0</v>
      </c>
      <c r="K126" s="808">
        <v>0</v>
      </c>
      <c r="L126" s="808">
        <v>0</v>
      </c>
      <c r="M126" s="808">
        <v>0</v>
      </c>
      <c r="N126" s="808">
        <v>0</v>
      </c>
      <c r="O126" s="808">
        <v>0</v>
      </c>
      <c r="P126" s="808">
        <v>0</v>
      </c>
      <c r="Q126" s="808">
        <v>0</v>
      </c>
      <c r="R126" s="808">
        <v>0</v>
      </c>
      <c r="S126" s="809">
        <f t="shared" si="10"/>
        <v>0</v>
      </c>
      <c r="T126" s="810">
        <f t="shared" ca="1" si="6"/>
        <v>-134</v>
      </c>
      <c r="U126" s="811">
        <v>44248</v>
      </c>
      <c r="V126" s="812" t="s">
        <v>2184</v>
      </c>
      <c r="W126" s="813"/>
      <c r="X126" s="814"/>
      <c r="Y126" s="814"/>
      <c r="Z126" s="814"/>
      <c r="AA126" s="814"/>
      <c r="AB126" s="814"/>
      <c r="AC126" s="815"/>
      <c r="AD126" s="816">
        <v>43334</v>
      </c>
      <c r="AE126" s="817">
        <f t="shared" ca="1" si="11"/>
        <v>-1144</v>
      </c>
      <c r="AF126" s="805" t="s">
        <v>1988</v>
      </c>
    </row>
    <row r="127" spans="1:32" s="820" customFormat="1" ht="89.25" x14ac:dyDescent="0.2">
      <c r="A127" s="821" t="s">
        <v>2150</v>
      </c>
      <c r="B127" s="805"/>
      <c r="C127" s="805" t="s">
        <v>2151</v>
      </c>
      <c r="D127" s="806" t="s">
        <v>2168</v>
      </c>
      <c r="E127" s="806" t="s">
        <v>2153</v>
      </c>
      <c r="F127" s="807">
        <v>0</v>
      </c>
      <c r="G127" s="808">
        <v>0</v>
      </c>
      <c r="H127" s="808">
        <v>0</v>
      </c>
      <c r="I127" s="808">
        <v>0</v>
      </c>
      <c r="J127" s="808">
        <v>0</v>
      </c>
      <c r="K127" s="808">
        <v>0</v>
      </c>
      <c r="L127" s="808">
        <v>0</v>
      </c>
      <c r="M127" s="808">
        <v>0</v>
      </c>
      <c r="N127" s="808">
        <v>0</v>
      </c>
      <c r="O127" s="808">
        <v>0</v>
      </c>
      <c r="P127" s="808">
        <v>0</v>
      </c>
      <c r="Q127" s="808">
        <v>0</v>
      </c>
      <c r="R127" s="808">
        <v>0</v>
      </c>
      <c r="S127" s="809">
        <f t="shared" si="10"/>
        <v>0</v>
      </c>
      <c r="T127" s="810">
        <f t="shared" ca="1" si="6"/>
        <v>-142</v>
      </c>
      <c r="U127" s="811">
        <v>44240</v>
      </c>
      <c r="V127" s="812" t="s">
        <v>2189</v>
      </c>
      <c r="W127" s="813"/>
      <c r="X127" s="814"/>
      <c r="Y127" s="814"/>
      <c r="Z127" s="814"/>
      <c r="AA127" s="814"/>
      <c r="AB127" s="814"/>
      <c r="AC127" s="815"/>
      <c r="AD127" s="816">
        <v>43326</v>
      </c>
      <c r="AE127" s="817">
        <f t="shared" ca="1" si="11"/>
        <v>-1136</v>
      </c>
      <c r="AF127" s="805" t="s">
        <v>1988</v>
      </c>
    </row>
    <row r="128" spans="1:32" s="820" customFormat="1" ht="89.25" x14ac:dyDescent="0.2">
      <c r="A128" s="821" t="s">
        <v>2150</v>
      </c>
      <c r="B128" s="805"/>
      <c r="C128" s="805" t="s">
        <v>2151</v>
      </c>
      <c r="D128" s="806" t="s">
        <v>2169</v>
      </c>
      <c r="E128" s="806" t="s">
        <v>2153</v>
      </c>
      <c r="F128" s="807">
        <v>0</v>
      </c>
      <c r="G128" s="808">
        <v>0</v>
      </c>
      <c r="H128" s="808">
        <v>0</v>
      </c>
      <c r="I128" s="808">
        <v>0</v>
      </c>
      <c r="J128" s="808">
        <v>0</v>
      </c>
      <c r="K128" s="808">
        <v>0</v>
      </c>
      <c r="L128" s="808">
        <v>0</v>
      </c>
      <c r="M128" s="808">
        <v>0</v>
      </c>
      <c r="N128" s="808">
        <v>0</v>
      </c>
      <c r="O128" s="808">
        <v>0</v>
      </c>
      <c r="P128" s="808">
        <v>0</v>
      </c>
      <c r="Q128" s="808">
        <v>0</v>
      </c>
      <c r="R128" s="808">
        <v>0</v>
      </c>
      <c r="S128" s="809">
        <f t="shared" si="10"/>
        <v>0</v>
      </c>
      <c r="T128" s="810">
        <f t="shared" ca="1" si="6"/>
        <v>-134</v>
      </c>
      <c r="U128" s="811">
        <v>44248</v>
      </c>
      <c r="V128" s="812" t="s">
        <v>2184</v>
      </c>
      <c r="W128" s="813"/>
      <c r="X128" s="814"/>
      <c r="Y128" s="814"/>
      <c r="Z128" s="814"/>
      <c r="AA128" s="814"/>
      <c r="AB128" s="814"/>
      <c r="AC128" s="815"/>
      <c r="AD128" s="816">
        <v>43334</v>
      </c>
      <c r="AE128" s="817">
        <f t="shared" ca="1" si="11"/>
        <v>-1144</v>
      </c>
      <c r="AF128" s="805" t="s">
        <v>1988</v>
      </c>
    </row>
    <row r="129" spans="1:32" s="820" customFormat="1" ht="89.25" x14ac:dyDescent="0.2">
      <c r="A129" s="821" t="s">
        <v>2150</v>
      </c>
      <c r="B129" s="805"/>
      <c r="C129" s="805" t="s">
        <v>2151</v>
      </c>
      <c r="D129" s="806" t="s">
        <v>2405</v>
      </c>
      <c r="E129" s="806" t="s">
        <v>2153</v>
      </c>
      <c r="F129" s="807">
        <v>0</v>
      </c>
      <c r="G129" s="808">
        <v>0</v>
      </c>
      <c r="H129" s="808">
        <v>0</v>
      </c>
      <c r="I129" s="808">
        <v>0</v>
      </c>
      <c r="J129" s="808">
        <v>0</v>
      </c>
      <c r="K129" s="808">
        <v>0</v>
      </c>
      <c r="L129" s="808">
        <v>0</v>
      </c>
      <c r="M129" s="808">
        <v>0</v>
      </c>
      <c r="N129" s="808">
        <v>0</v>
      </c>
      <c r="O129" s="808">
        <v>0</v>
      </c>
      <c r="P129" s="808">
        <v>0</v>
      </c>
      <c r="Q129" s="808">
        <v>0</v>
      </c>
      <c r="R129" s="808">
        <v>0</v>
      </c>
      <c r="S129" s="809">
        <f t="shared" si="10"/>
        <v>0</v>
      </c>
      <c r="T129" s="810">
        <f t="shared" ca="1" si="6"/>
        <v>-134</v>
      </c>
      <c r="U129" s="811">
        <v>44248</v>
      </c>
      <c r="V129" s="812" t="s">
        <v>2184</v>
      </c>
      <c r="W129" s="813"/>
      <c r="X129" s="814"/>
      <c r="Y129" s="814"/>
      <c r="Z129" s="814"/>
      <c r="AA129" s="814"/>
      <c r="AB129" s="814"/>
      <c r="AC129" s="815"/>
      <c r="AD129" s="816">
        <v>43334</v>
      </c>
      <c r="AE129" s="817">
        <f t="shared" ca="1" si="11"/>
        <v>-1144</v>
      </c>
      <c r="AF129" s="805" t="s">
        <v>1988</v>
      </c>
    </row>
    <row r="130" spans="1:32" s="820" customFormat="1" ht="89.25" x14ac:dyDescent="0.2">
      <c r="A130" s="821" t="s">
        <v>2150</v>
      </c>
      <c r="B130" s="805"/>
      <c r="C130" s="805" t="s">
        <v>2151</v>
      </c>
      <c r="D130" s="806" t="s">
        <v>2170</v>
      </c>
      <c r="E130" s="806" t="s">
        <v>2153</v>
      </c>
      <c r="F130" s="807">
        <v>0</v>
      </c>
      <c r="G130" s="808">
        <v>0</v>
      </c>
      <c r="H130" s="808">
        <v>0</v>
      </c>
      <c r="I130" s="808">
        <v>0</v>
      </c>
      <c r="J130" s="808">
        <v>0</v>
      </c>
      <c r="K130" s="808">
        <v>0</v>
      </c>
      <c r="L130" s="808">
        <v>0</v>
      </c>
      <c r="M130" s="808">
        <v>0</v>
      </c>
      <c r="N130" s="808">
        <v>0</v>
      </c>
      <c r="O130" s="808">
        <v>0</v>
      </c>
      <c r="P130" s="808">
        <v>0</v>
      </c>
      <c r="Q130" s="808">
        <v>0</v>
      </c>
      <c r="R130" s="808">
        <v>0</v>
      </c>
      <c r="S130" s="809">
        <f t="shared" si="10"/>
        <v>0</v>
      </c>
      <c r="T130" s="810">
        <f t="shared" ca="1" si="6"/>
        <v>-134</v>
      </c>
      <c r="U130" s="811">
        <v>44248</v>
      </c>
      <c r="V130" s="812" t="s">
        <v>2184</v>
      </c>
      <c r="W130" s="813"/>
      <c r="X130" s="814"/>
      <c r="Y130" s="814"/>
      <c r="Z130" s="814"/>
      <c r="AA130" s="814"/>
      <c r="AB130" s="814"/>
      <c r="AC130" s="815"/>
      <c r="AD130" s="816">
        <v>43334</v>
      </c>
      <c r="AE130" s="817">
        <f t="shared" ca="1" si="11"/>
        <v>-1144</v>
      </c>
      <c r="AF130" s="805" t="s">
        <v>1988</v>
      </c>
    </row>
    <row r="131" spans="1:32" s="820" customFormat="1" ht="89.25" x14ac:dyDescent="0.2">
      <c r="A131" s="821" t="s">
        <v>2150</v>
      </c>
      <c r="B131" s="805"/>
      <c r="C131" s="805" t="s">
        <v>2151</v>
      </c>
      <c r="D131" s="806" t="s">
        <v>2171</v>
      </c>
      <c r="E131" s="806" t="s">
        <v>2153</v>
      </c>
      <c r="F131" s="807">
        <v>0</v>
      </c>
      <c r="G131" s="808">
        <v>0</v>
      </c>
      <c r="H131" s="808">
        <v>0</v>
      </c>
      <c r="I131" s="808">
        <v>0</v>
      </c>
      <c r="J131" s="808">
        <v>0</v>
      </c>
      <c r="K131" s="808">
        <v>0</v>
      </c>
      <c r="L131" s="808">
        <v>0</v>
      </c>
      <c r="M131" s="808">
        <v>0</v>
      </c>
      <c r="N131" s="808">
        <v>0</v>
      </c>
      <c r="O131" s="808">
        <v>0</v>
      </c>
      <c r="P131" s="808">
        <v>0</v>
      </c>
      <c r="Q131" s="808">
        <v>0</v>
      </c>
      <c r="R131" s="808">
        <v>0</v>
      </c>
      <c r="S131" s="809">
        <f t="shared" si="10"/>
        <v>0</v>
      </c>
      <c r="T131" s="810">
        <f t="shared" ca="1" si="6"/>
        <v>-134</v>
      </c>
      <c r="U131" s="811">
        <v>44248</v>
      </c>
      <c r="V131" s="812" t="s">
        <v>2184</v>
      </c>
      <c r="W131" s="813"/>
      <c r="X131" s="814"/>
      <c r="Y131" s="814"/>
      <c r="Z131" s="814"/>
      <c r="AA131" s="814"/>
      <c r="AB131" s="814"/>
      <c r="AC131" s="815"/>
      <c r="AD131" s="816">
        <v>43334</v>
      </c>
      <c r="AE131" s="817">
        <f t="shared" ca="1" si="11"/>
        <v>-1144</v>
      </c>
      <c r="AF131" s="805" t="s">
        <v>1988</v>
      </c>
    </row>
    <row r="132" spans="1:32" s="820" customFormat="1" ht="89.25" x14ac:dyDescent="0.2">
      <c r="A132" s="821" t="s">
        <v>2150</v>
      </c>
      <c r="B132" s="805"/>
      <c r="C132" s="805" t="s">
        <v>2151</v>
      </c>
      <c r="D132" s="806" t="s">
        <v>2172</v>
      </c>
      <c r="E132" s="806" t="s">
        <v>2153</v>
      </c>
      <c r="F132" s="807">
        <v>0</v>
      </c>
      <c r="G132" s="808">
        <v>0</v>
      </c>
      <c r="H132" s="808">
        <v>0</v>
      </c>
      <c r="I132" s="808">
        <v>0</v>
      </c>
      <c r="J132" s="808">
        <v>0</v>
      </c>
      <c r="K132" s="808">
        <v>0</v>
      </c>
      <c r="L132" s="808">
        <v>0</v>
      </c>
      <c r="M132" s="808">
        <v>0</v>
      </c>
      <c r="N132" s="808">
        <v>0</v>
      </c>
      <c r="O132" s="808">
        <v>0</v>
      </c>
      <c r="P132" s="808">
        <v>0</v>
      </c>
      <c r="Q132" s="808">
        <v>0</v>
      </c>
      <c r="R132" s="808">
        <v>0</v>
      </c>
      <c r="S132" s="809">
        <f t="shared" si="10"/>
        <v>0</v>
      </c>
      <c r="T132" s="810">
        <f t="shared" ca="1" si="6"/>
        <v>-134</v>
      </c>
      <c r="U132" s="811">
        <v>44248</v>
      </c>
      <c r="V132" s="812" t="s">
        <v>2184</v>
      </c>
      <c r="W132" s="813"/>
      <c r="X132" s="814"/>
      <c r="Y132" s="814"/>
      <c r="Z132" s="814"/>
      <c r="AA132" s="814"/>
      <c r="AB132" s="814"/>
      <c r="AC132" s="815"/>
      <c r="AD132" s="816">
        <v>43334</v>
      </c>
      <c r="AE132" s="817">
        <f t="shared" ca="1" si="11"/>
        <v>-1144</v>
      </c>
      <c r="AF132" s="805" t="s">
        <v>1988</v>
      </c>
    </row>
    <row r="133" spans="1:32" s="820" customFormat="1" ht="89.25" x14ac:dyDescent="0.2">
      <c r="A133" s="821" t="s">
        <v>2150</v>
      </c>
      <c r="B133" s="805"/>
      <c r="C133" s="805" t="s">
        <v>2151</v>
      </c>
      <c r="D133" s="806" t="s">
        <v>2173</v>
      </c>
      <c r="E133" s="806" t="s">
        <v>2153</v>
      </c>
      <c r="F133" s="807">
        <v>0</v>
      </c>
      <c r="G133" s="808">
        <v>0</v>
      </c>
      <c r="H133" s="808">
        <v>0</v>
      </c>
      <c r="I133" s="808">
        <v>0</v>
      </c>
      <c r="J133" s="808">
        <v>0</v>
      </c>
      <c r="K133" s="808">
        <v>0</v>
      </c>
      <c r="L133" s="808">
        <v>0</v>
      </c>
      <c r="M133" s="808">
        <v>0</v>
      </c>
      <c r="N133" s="808">
        <v>0</v>
      </c>
      <c r="O133" s="808">
        <v>0</v>
      </c>
      <c r="P133" s="808">
        <v>0</v>
      </c>
      <c r="Q133" s="808">
        <v>0</v>
      </c>
      <c r="R133" s="808">
        <v>0</v>
      </c>
      <c r="S133" s="809">
        <f t="shared" si="10"/>
        <v>0</v>
      </c>
      <c r="T133" s="810">
        <f t="shared" ca="1" si="6"/>
        <v>-134</v>
      </c>
      <c r="U133" s="811">
        <v>44248</v>
      </c>
      <c r="V133" s="812" t="s">
        <v>2184</v>
      </c>
      <c r="W133" s="813"/>
      <c r="X133" s="814"/>
      <c r="Y133" s="814"/>
      <c r="Z133" s="814"/>
      <c r="AA133" s="814"/>
      <c r="AB133" s="814"/>
      <c r="AC133" s="815"/>
      <c r="AD133" s="816">
        <v>43334</v>
      </c>
      <c r="AE133" s="817">
        <f t="shared" ca="1" si="11"/>
        <v>-1144</v>
      </c>
      <c r="AF133" s="805" t="s">
        <v>1988</v>
      </c>
    </row>
    <row r="134" spans="1:32" s="820" customFormat="1" ht="89.25" x14ac:dyDescent="0.2">
      <c r="A134" s="821" t="s">
        <v>2150</v>
      </c>
      <c r="B134" s="805"/>
      <c r="C134" s="805" t="s">
        <v>2151</v>
      </c>
      <c r="D134" s="806" t="s">
        <v>2174</v>
      </c>
      <c r="E134" s="806" t="s">
        <v>2153</v>
      </c>
      <c r="F134" s="807">
        <v>0</v>
      </c>
      <c r="G134" s="808">
        <v>0</v>
      </c>
      <c r="H134" s="808">
        <v>0</v>
      </c>
      <c r="I134" s="808">
        <v>0</v>
      </c>
      <c r="J134" s="808">
        <v>0</v>
      </c>
      <c r="K134" s="808">
        <v>0</v>
      </c>
      <c r="L134" s="808">
        <v>0</v>
      </c>
      <c r="M134" s="808">
        <v>0</v>
      </c>
      <c r="N134" s="808">
        <v>0</v>
      </c>
      <c r="O134" s="808">
        <v>0</v>
      </c>
      <c r="P134" s="808">
        <v>0</v>
      </c>
      <c r="Q134" s="808">
        <v>0</v>
      </c>
      <c r="R134" s="808">
        <v>0</v>
      </c>
      <c r="S134" s="809">
        <f t="shared" si="10"/>
        <v>0</v>
      </c>
      <c r="T134" s="810">
        <f t="shared" ca="1" si="6"/>
        <v>-134</v>
      </c>
      <c r="U134" s="811">
        <v>44248</v>
      </c>
      <c r="V134" s="812" t="s">
        <v>2184</v>
      </c>
      <c r="W134" s="813"/>
      <c r="X134" s="814"/>
      <c r="Y134" s="814"/>
      <c r="Z134" s="814"/>
      <c r="AA134" s="814"/>
      <c r="AB134" s="814"/>
      <c r="AC134" s="815"/>
      <c r="AD134" s="816">
        <v>43334</v>
      </c>
      <c r="AE134" s="817">
        <f t="shared" ca="1" si="11"/>
        <v>-1144</v>
      </c>
      <c r="AF134" s="805" t="s">
        <v>1988</v>
      </c>
    </row>
    <row r="135" spans="1:32" s="820" customFormat="1" ht="89.25" x14ac:dyDescent="0.2">
      <c r="A135" s="821" t="s">
        <v>2150</v>
      </c>
      <c r="B135" s="805"/>
      <c r="C135" s="805" t="s">
        <v>2151</v>
      </c>
      <c r="D135" s="806" t="s">
        <v>2175</v>
      </c>
      <c r="E135" s="806" t="s">
        <v>2153</v>
      </c>
      <c r="F135" s="807">
        <v>0</v>
      </c>
      <c r="G135" s="808">
        <v>0</v>
      </c>
      <c r="H135" s="808">
        <v>0</v>
      </c>
      <c r="I135" s="808">
        <v>0</v>
      </c>
      <c r="J135" s="808">
        <v>0</v>
      </c>
      <c r="K135" s="808">
        <v>0</v>
      </c>
      <c r="L135" s="808">
        <v>0</v>
      </c>
      <c r="M135" s="808">
        <v>0</v>
      </c>
      <c r="N135" s="808">
        <v>0</v>
      </c>
      <c r="O135" s="808">
        <v>0</v>
      </c>
      <c r="P135" s="808">
        <v>0</v>
      </c>
      <c r="Q135" s="808">
        <v>0</v>
      </c>
      <c r="R135" s="808">
        <v>0</v>
      </c>
      <c r="S135" s="809">
        <f t="shared" si="10"/>
        <v>0</v>
      </c>
      <c r="T135" s="810">
        <f t="shared" ca="1" si="6"/>
        <v>-134</v>
      </c>
      <c r="U135" s="811">
        <v>44248</v>
      </c>
      <c r="V135" s="812" t="s">
        <v>2184</v>
      </c>
      <c r="W135" s="813"/>
      <c r="X135" s="814"/>
      <c r="Y135" s="814"/>
      <c r="Z135" s="814"/>
      <c r="AA135" s="814"/>
      <c r="AB135" s="814"/>
      <c r="AC135" s="815"/>
      <c r="AD135" s="816">
        <v>43334</v>
      </c>
      <c r="AE135" s="817">
        <f t="shared" ca="1" si="11"/>
        <v>-1144</v>
      </c>
      <c r="AF135" s="805" t="s">
        <v>1988</v>
      </c>
    </row>
    <row r="136" spans="1:32" s="820" customFormat="1" ht="89.25" x14ac:dyDescent="0.2">
      <c r="A136" s="821" t="s">
        <v>2150</v>
      </c>
      <c r="B136" s="805"/>
      <c r="C136" s="805" t="s">
        <v>2151</v>
      </c>
      <c r="D136" s="806" t="s">
        <v>2176</v>
      </c>
      <c r="E136" s="806" t="s">
        <v>2153</v>
      </c>
      <c r="F136" s="807">
        <v>0</v>
      </c>
      <c r="G136" s="808">
        <v>0</v>
      </c>
      <c r="H136" s="808">
        <v>0</v>
      </c>
      <c r="I136" s="808">
        <v>0</v>
      </c>
      <c r="J136" s="808">
        <v>0</v>
      </c>
      <c r="K136" s="808">
        <v>0</v>
      </c>
      <c r="L136" s="808">
        <v>0</v>
      </c>
      <c r="M136" s="808">
        <v>0</v>
      </c>
      <c r="N136" s="808">
        <v>0</v>
      </c>
      <c r="O136" s="808">
        <v>0</v>
      </c>
      <c r="P136" s="808">
        <v>0</v>
      </c>
      <c r="Q136" s="808">
        <v>0</v>
      </c>
      <c r="R136" s="808">
        <v>0</v>
      </c>
      <c r="S136" s="809">
        <f t="shared" si="10"/>
        <v>0</v>
      </c>
      <c r="T136" s="810">
        <f t="shared" ca="1" si="6"/>
        <v>-142</v>
      </c>
      <c r="U136" s="811">
        <v>44240</v>
      </c>
      <c r="V136" s="812" t="s">
        <v>2189</v>
      </c>
      <c r="W136" s="813"/>
      <c r="X136" s="814"/>
      <c r="Y136" s="814"/>
      <c r="Z136" s="814"/>
      <c r="AA136" s="814"/>
      <c r="AB136" s="814"/>
      <c r="AC136" s="815"/>
      <c r="AD136" s="816">
        <v>43326</v>
      </c>
      <c r="AE136" s="817">
        <f t="shared" ca="1" si="11"/>
        <v>-1136</v>
      </c>
      <c r="AF136" s="805" t="s">
        <v>1988</v>
      </c>
    </row>
    <row r="137" spans="1:32" s="820" customFormat="1" ht="89.25" x14ac:dyDescent="0.2">
      <c r="A137" s="821" t="s">
        <v>2150</v>
      </c>
      <c r="B137" s="805"/>
      <c r="C137" s="805" t="s">
        <v>2151</v>
      </c>
      <c r="D137" s="806" t="s">
        <v>2177</v>
      </c>
      <c r="E137" s="806" t="s">
        <v>2153</v>
      </c>
      <c r="F137" s="807">
        <v>0</v>
      </c>
      <c r="G137" s="808">
        <v>0</v>
      </c>
      <c r="H137" s="808">
        <v>0</v>
      </c>
      <c r="I137" s="808">
        <v>0</v>
      </c>
      <c r="J137" s="808">
        <v>0</v>
      </c>
      <c r="K137" s="808">
        <v>0</v>
      </c>
      <c r="L137" s="808">
        <v>0</v>
      </c>
      <c r="M137" s="808">
        <v>0</v>
      </c>
      <c r="N137" s="808">
        <v>0</v>
      </c>
      <c r="O137" s="808">
        <v>0</v>
      </c>
      <c r="P137" s="808">
        <v>0</v>
      </c>
      <c r="Q137" s="808">
        <v>0</v>
      </c>
      <c r="R137" s="808">
        <v>0</v>
      </c>
      <c r="S137" s="809">
        <f t="shared" ref="S137:S173" si="12">SUM(G137:R137)</f>
        <v>0</v>
      </c>
      <c r="T137" s="810">
        <f t="shared" ca="1" si="6"/>
        <v>-134</v>
      </c>
      <c r="U137" s="811">
        <v>44248</v>
      </c>
      <c r="V137" s="812" t="s">
        <v>2184</v>
      </c>
      <c r="W137" s="813"/>
      <c r="X137" s="814"/>
      <c r="Y137" s="814"/>
      <c r="Z137" s="814"/>
      <c r="AA137" s="814"/>
      <c r="AB137" s="814"/>
      <c r="AC137" s="815"/>
      <c r="AD137" s="816">
        <v>43334</v>
      </c>
      <c r="AE137" s="817">
        <f t="shared" ca="1" si="11"/>
        <v>-1144</v>
      </c>
      <c r="AF137" s="805" t="s">
        <v>1988</v>
      </c>
    </row>
    <row r="138" spans="1:32" s="820" customFormat="1" ht="89.25" x14ac:dyDescent="0.2">
      <c r="A138" s="821" t="s">
        <v>2150</v>
      </c>
      <c r="B138" s="805"/>
      <c r="C138" s="805" t="s">
        <v>2151</v>
      </c>
      <c r="D138" s="806" t="s">
        <v>2178</v>
      </c>
      <c r="E138" s="806" t="s">
        <v>2153</v>
      </c>
      <c r="F138" s="807">
        <v>0</v>
      </c>
      <c r="G138" s="808">
        <v>0</v>
      </c>
      <c r="H138" s="808">
        <v>0</v>
      </c>
      <c r="I138" s="808">
        <v>0</v>
      </c>
      <c r="J138" s="808">
        <v>0</v>
      </c>
      <c r="K138" s="808">
        <v>0</v>
      </c>
      <c r="L138" s="808">
        <v>0</v>
      </c>
      <c r="M138" s="808">
        <v>0</v>
      </c>
      <c r="N138" s="808">
        <v>0</v>
      </c>
      <c r="O138" s="808">
        <v>0</v>
      </c>
      <c r="P138" s="808">
        <v>0</v>
      </c>
      <c r="Q138" s="808">
        <v>0</v>
      </c>
      <c r="R138" s="808">
        <v>0</v>
      </c>
      <c r="S138" s="809">
        <f t="shared" si="12"/>
        <v>0</v>
      </c>
      <c r="T138" s="810">
        <f t="shared" ca="1" si="6"/>
        <v>-134</v>
      </c>
      <c r="U138" s="811">
        <v>44248</v>
      </c>
      <c r="V138" s="812" t="s">
        <v>2184</v>
      </c>
      <c r="W138" s="813"/>
      <c r="X138" s="814"/>
      <c r="Y138" s="814"/>
      <c r="Z138" s="814"/>
      <c r="AA138" s="814"/>
      <c r="AB138" s="814"/>
      <c r="AC138" s="815"/>
      <c r="AD138" s="816">
        <v>43334</v>
      </c>
      <c r="AE138" s="817">
        <f t="shared" ca="1" si="11"/>
        <v>-1144</v>
      </c>
      <c r="AF138" s="805" t="s">
        <v>1988</v>
      </c>
    </row>
    <row r="139" spans="1:32" s="820" customFormat="1" ht="89.25" x14ac:dyDescent="0.2">
      <c r="A139" s="821" t="s">
        <v>2150</v>
      </c>
      <c r="B139" s="805"/>
      <c r="C139" s="805" t="s">
        <v>2151</v>
      </c>
      <c r="D139" s="806" t="s">
        <v>2179</v>
      </c>
      <c r="E139" s="806" t="s">
        <v>2153</v>
      </c>
      <c r="F139" s="807">
        <v>0</v>
      </c>
      <c r="G139" s="808">
        <v>0</v>
      </c>
      <c r="H139" s="808">
        <v>0</v>
      </c>
      <c r="I139" s="808">
        <v>0</v>
      </c>
      <c r="J139" s="808">
        <v>0</v>
      </c>
      <c r="K139" s="808">
        <v>0</v>
      </c>
      <c r="L139" s="808">
        <v>0</v>
      </c>
      <c r="M139" s="808">
        <v>0</v>
      </c>
      <c r="N139" s="808">
        <v>0</v>
      </c>
      <c r="O139" s="808">
        <v>0</v>
      </c>
      <c r="P139" s="808">
        <v>0</v>
      </c>
      <c r="Q139" s="808">
        <v>0</v>
      </c>
      <c r="R139" s="808">
        <v>0</v>
      </c>
      <c r="S139" s="809">
        <f t="shared" si="12"/>
        <v>0</v>
      </c>
      <c r="T139" s="810">
        <f t="shared" ca="1" si="6"/>
        <v>-134</v>
      </c>
      <c r="U139" s="811">
        <v>44248</v>
      </c>
      <c r="V139" s="812" t="s">
        <v>2184</v>
      </c>
      <c r="W139" s="813"/>
      <c r="X139" s="814"/>
      <c r="Y139" s="814"/>
      <c r="Z139" s="814"/>
      <c r="AA139" s="814"/>
      <c r="AB139" s="814"/>
      <c r="AC139" s="815"/>
      <c r="AD139" s="816">
        <v>43334</v>
      </c>
      <c r="AE139" s="817">
        <f t="shared" ca="1" si="11"/>
        <v>-1144</v>
      </c>
      <c r="AF139" s="805" t="s">
        <v>1988</v>
      </c>
    </row>
    <row r="140" spans="1:32" s="820" customFormat="1" ht="89.25" x14ac:dyDescent="0.2">
      <c r="A140" s="821" t="s">
        <v>2150</v>
      </c>
      <c r="B140" s="805"/>
      <c r="C140" s="805" t="s">
        <v>2151</v>
      </c>
      <c r="D140" s="806" t="s">
        <v>2180</v>
      </c>
      <c r="E140" s="806" t="s">
        <v>2153</v>
      </c>
      <c r="F140" s="807">
        <v>0</v>
      </c>
      <c r="G140" s="808">
        <v>0</v>
      </c>
      <c r="H140" s="808">
        <v>0</v>
      </c>
      <c r="I140" s="808">
        <v>0</v>
      </c>
      <c r="J140" s="808">
        <v>0</v>
      </c>
      <c r="K140" s="808">
        <v>0</v>
      </c>
      <c r="L140" s="808">
        <v>0</v>
      </c>
      <c r="M140" s="808">
        <v>0</v>
      </c>
      <c r="N140" s="808">
        <v>0</v>
      </c>
      <c r="O140" s="808">
        <v>0</v>
      </c>
      <c r="P140" s="808">
        <v>0</v>
      </c>
      <c r="Q140" s="808">
        <v>0</v>
      </c>
      <c r="R140" s="808">
        <v>0</v>
      </c>
      <c r="S140" s="809">
        <f t="shared" si="12"/>
        <v>0</v>
      </c>
      <c r="T140" s="810">
        <f t="shared" ref="T140:T203" ca="1" si="13">U140-$AE$3</f>
        <v>-134</v>
      </c>
      <c r="U140" s="811">
        <v>44248</v>
      </c>
      <c r="V140" s="812" t="s">
        <v>2184</v>
      </c>
      <c r="W140" s="813"/>
      <c r="X140" s="814"/>
      <c r="Y140" s="814"/>
      <c r="Z140" s="814"/>
      <c r="AA140" s="814"/>
      <c r="AB140" s="814"/>
      <c r="AC140" s="815"/>
      <c r="AD140" s="816">
        <v>43334</v>
      </c>
      <c r="AE140" s="817">
        <f t="shared" ca="1" si="11"/>
        <v>-1144</v>
      </c>
      <c r="AF140" s="805" t="s">
        <v>1988</v>
      </c>
    </row>
    <row r="141" spans="1:32" s="820" customFormat="1" ht="89.25" x14ac:dyDescent="0.2">
      <c r="A141" s="821" t="s">
        <v>2150</v>
      </c>
      <c r="B141" s="805"/>
      <c r="C141" s="805" t="s">
        <v>2151</v>
      </c>
      <c r="D141" s="806" t="s">
        <v>2181</v>
      </c>
      <c r="E141" s="806" t="s">
        <v>2153</v>
      </c>
      <c r="F141" s="807">
        <v>0</v>
      </c>
      <c r="G141" s="808">
        <v>0</v>
      </c>
      <c r="H141" s="808">
        <v>0</v>
      </c>
      <c r="I141" s="808">
        <v>0</v>
      </c>
      <c r="J141" s="808">
        <v>0</v>
      </c>
      <c r="K141" s="808">
        <v>0</v>
      </c>
      <c r="L141" s="808">
        <v>0</v>
      </c>
      <c r="M141" s="808">
        <v>0</v>
      </c>
      <c r="N141" s="808">
        <v>0</v>
      </c>
      <c r="O141" s="808">
        <v>0</v>
      </c>
      <c r="P141" s="808">
        <v>0</v>
      </c>
      <c r="Q141" s="808">
        <v>0</v>
      </c>
      <c r="R141" s="808">
        <v>0</v>
      </c>
      <c r="S141" s="809">
        <f t="shared" si="12"/>
        <v>0</v>
      </c>
      <c r="T141" s="810">
        <f t="shared" ca="1" si="13"/>
        <v>-134</v>
      </c>
      <c r="U141" s="811">
        <v>44248</v>
      </c>
      <c r="V141" s="812" t="s">
        <v>2184</v>
      </c>
      <c r="W141" s="813"/>
      <c r="X141" s="814"/>
      <c r="Y141" s="814"/>
      <c r="Z141" s="814"/>
      <c r="AA141" s="814"/>
      <c r="AB141" s="814"/>
      <c r="AC141" s="815"/>
      <c r="AD141" s="816">
        <v>43334</v>
      </c>
      <c r="AE141" s="817">
        <f t="shared" ca="1" si="11"/>
        <v>-1144</v>
      </c>
      <c r="AF141" s="805" t="s">
        <v>1988</v>
      </c>
    </row>
    <row r="142" spans="1:32" s="820" customFormat="1" ht="89.25" x14ac:dyDescent="0.2">
      <c r="A142" s="821" t="s">
        <v>2150</v>
      </c>
      <c r="B142" s="805"/>
      <c r="C142" s="805" t="s">
        <v>2151</v>
      </c>
      <c r="D142" s="806" t="s">
        <v>2182</v>
      </c>
      <c r="E142" s="806" t="s">
        <v>2153</v>
      </c>
      <c r="F142" s="807">
        <v>0</v>
      </c>
      <c r="G142" s="808">
        <v>0</v>
      </c>
      <c r="H142" s="808">
        <v>0</v>
      </c>
      <c r="I142" s="808">
        <v>0</v>
      </c>
      <c r="J142" s="808">
        <v>0</v>
      </c>
      <c r="K142" s="808">
        <v>0</v>
      </c>
      <c r="L142" s="808">
        <v>0</v>
      </c>
      <c r="M142" s="808">
        <v>0</v>
      </c>
      <c r="N142" s="808">
        <v>0</v>
      </c>
      <c r="O142" s="808">
        <v>0</v>
      </c>
      <c r="P142" s="808">
        <v>0</v>
      </c>
      <c r="Q142" s="808">
        <v>0</v>
      </c>
      <c r="R142" s="808">
        <v>0</v>
      </c>
      <c r="S142" s="809">
        <f t="shared" si="12"/>
        <v>0</v>
      </c>
      <c r="T142" s="810">
        <f t="shared" ca="1" si="13"/>
        <v>-134</v>
      </c>
      <c r="U142" s="811">
        <v>44248</v>
      </c>
      <c r="V142" s="812" t="s">
        <v>2184</v>
      </c>
      <c r="W142" s="813"/>
      <c r="X142" s="814"/>
      <c r="Y142" s="814"/>
      <c r="Z142" s="814"/>
      <c r="AA142" s="814"/>
      <c r="AB142" s="814"/>
      <c r="AC142" s="815"/>
      <c r="AD142" s="816">
        <v>43334</v>
      </c>
      <c r="AE142" s="817">
        <f t="shared" ca="1" si="11"/>
        <v>-1144</v>
      </c>
      <c r="AF142" s="805" t="s">
        <v>1988</v>
      </c>
    </row>
    <row r="143" spans="1:32" s="820" customFormat="1" ht="89.25" x14ac:dyDescent="0.2">
      <c r="A143" s="821" t="s">
        <v>2150</v>
      </c>
      <c r="B143" s="805"/>
      <c r="C143" s="805" t="s">
        <v>2151</v>
      </c>
      <c r="D143" s="806" t="s">
        <v>2183</v>
      </c>
      <c r="E143" s="806" t="s">
        <v>2153</v>
      </c>
      <c r="F143" s="807">
        <v>0</v>
      </c>
      <c r="G143" s="808">
        <v>0</v>
      </c>
      <c r="H143" s="808">
        <v>0</v>
      </c>
      <c r="I143" s="808">
        <v>0</v>
      </c>
      <c r="J143" s="808">
        <v>0</v>
      </c>
      <c r="K143" s="808">
        <v>0</v>
      </c>
      <c r="L143" s="808">
        <v>0</v>
      </c>
      <c r="M143" s="808">
        <v>0</v>
      </c>
      <c r="N143" s="808">
        <v>0</v>
      </c>
      <c r="O143" s="808">
        <v>0</v>
      </c>
      <c r="P143" s="808">
        <v>0</v>
      </c>
      <c r="Q143" s="808">
        <v>0</v>
      </c>
      <c r="R143" s="808">
        <v>0</v>
      </c>
      <c r="S143" s="809">
        <f t="shared" si="12"/>
        <v>0</v>
      </c>
      <c r="T143" s="810">
        <f t="shared" ca="1" si="13"/>
        <v>-134</v>
      </c>
      <c r="U143" s="811">
        <v>44248</v>
      </c>
      <c r="V143" s="812" t="s">
        <v>2184</v>
      </c>
      <c r="W143" s="813"/>
      <c r="X143" s="814"/>
      <c r="Y143" s="814"/>
      <c r="Z143" s="814"/>
      <c r="AA143" s="814"/>
      <c r="AB143" s="814"/>
      <c r="AC143" s="815"/>
      <c r="AD143" s="816">
        <v>43334</v>
      </c>
      <c r="AE143" s="817">
        <f t="shared" ca="1" si="11"/>
        <v>-1144</v>
      </c>
      <c r="AF143" s="805" t="s">
        <v>1988</v>
      </c>
    </row>
    <row r="144" spans="1:32" s="820" customFormat="1" ht="63.75" x14ac:dyDescent="0.2">
      <c r="A144" s="821" t="s">
        <v>2186</v>
      </c>
      <c r="B144" s="805"/>
      <c r="C144" s="805"/>
      <c r="D144" s="806" t="s">
        <v>2115</v>
      </c>
      <c r="E144" s="806" t="s">
        <v>2187</v>
      </c>
      <c r="F144" s="807">
        <v>28357.22</v>
      </c>
      <c r="G144" s="808">
        <v>0</v>
      </c>
      <c r="H144" s="808">
        <v>0</v>
      </c>
      <c r="I144" s="808">
        <v>0</v>
      </c>
      <c r="J144" s="808">
        <v>0</v>
      </c>
      <c r="K144" s="808">
        <v>0</v>
      </c>
      <c r="L144" s="808">
        <v>0</v>
      </c>
      <c r="M144" s="808">
        <v>0</v>
      </c>
      <c r="N144" s="808">
        <v>0</v>
      </c>
      <c r="O144" s="808">
        <v>0</v>
      </c>
      <c r="P144" s="808">
        <v>0</v>
      </c>
      <c r="Q144" s="808">
        <v>11815.28</v>
      </c>
      <c r="R144" s="808">
        <v>0</v>
      </c>
      <c r="S144" s="809">
        <f t="shared" si="12"/>
        <v>11815.28</v>
      </c>
      <c r="T144" s="810">
        <f t="shared" ca="1" si="13"/>
        <v>-815</v>
      </c>
      <c r="U144" s="811">
        <v>43567</v>
      </c>
      <c r="V144" s="812" t="s">
        <v>2188</v>
      </c>
      <c r="W144" s="813"/>
      <c r="X144" s="814"/>
      <c r="Y144" s="814"/>
      <c r="Z144" s="814"/>
      <c r="AA144" s="814"/>
      <c r="AB144" s="814"/>
      <c r="AC144" s="815"/>
      <c r="AD144" s="816">
        <v>43325</v>
      </c>
      <c r="AE144" s="817">
        <f t="shared" ref="AE144:AE174" ca="1" si="14">TODAY()-DATE(YEAR(AD144)+6,MONTH(AD144),DAY(AD144))</f>
        <v>-1135</v>
      </c>
      <c r="AF144" s="805"/>
    </row>
    <row r="145" spans="1:32" s="820" customFormat="1" ht="38.25" x14ac:dyDescent="0.2">
      <c r="A145" s="821" t="s">
        <v>2190</v>
      </c>
      <c r="B145" s="805"/>
      <c r="C145" s="805"/>
      <c r="D145" s="806" t="s">
        <v>2191</v>
      </c>
      <c r="E145" s="806" t="s">
        <v>2192</v>
      </c>
      <c r="F145" s="807">
        <v>15600</v>
      </c>
      <c r="G145" s="808">
        <v>0</v>
      </c>
      <c r="H145" s="808">
        <v>0</v>
      </c>
      <c r="I145" s="808">
        <v>0</v>
      </c>
      <c r="J145" s="808">
        <v>0</v>
      </c>
      <c r="K145" s="808">
        <v>0</v>
      </c>
      <c r="L145" s="808">
        <v>0</v>
      </c>
      <c r="M145" s="808">
        <v>0</v>
      </c>
      <c r="N145" s="808">
        <v>0</v>
      </c>
      <c r="O145" s="808">
        <v>0</v>
      </c>
      <c r="P145" s="808">
        <v>823.37</v>
      </c>
      <c r="Q145" s="808">
        <v>1300</v>
      </c>
      <c r="R145" s="808">
        <v>1327.73</v>
      </c>
      <c r="S145" s="809">
        <f t="shared" si="12"/>
        <v>3451.1</v>
      </c>
      <c r="T145" s="810">
        <f t="shared" ca="1" si="13"/>
        <v>-701</v>
      </c>
      <c r="U145" s="811">
        <v>43681</v>
      </c>
      <c r="V145" s="812" t="s">
        <v>2193</v>
      </c>
      <c r="W145" s="813"/>
      <c r="X145" s="814"/>
      <c r="Y145" s="814"/>
      <c r="Z145" s="814"/>
      <c r="AA145" s="814"/>
      <c r="AB145" s="814"/>
      <c r="AC145" s="815"/>
      <c r="AD145" s="816">
        <v>43317</v>
      </c>
      <c r="AE145" s="817">
        <f t="shared" ca="1" si="14"/>
        <v>-1127</v>
      </c>
      <c r="AF145" s="805"/>
    </row>
    <row r="146" spans="1:32" s="820" customFormat="1" ht="89.25" x14ac:dyDescent="0.2">
      <c r="A146" s="821" t="s">
        <v>2150</v>
      </c>
      <c r="B146" s="805"/>
      <c r="C146" s="805" t="s">
        <v>2151</v>
      </c>
      <c r="D146" s="806" t="s">
        <v>2194</v>
      </c>
      <c r="E146" s="806" t="s">
        <v>2153</v>
      </c>
      <c r="F146" s="807">
        <v>0</v>
      </c>
      <c r="G146" s="808">
        <v>0</v>
      </c>
      <c r="H146" s="808">
        <v>0</v>
      </c>
      <c r="I146" s="808">
        <v>0</v>
      </c>
      <c r="J146" s="808">
        <v>0</v>
      </c>
      <c r="K146" s="808">
        <v>0</v>
      </c>
      <c r="L146" s="808">
        <v>0</v>
      </c>
      <c r="M146" s="808">
        <v>0</v>
      </c>
      <c r="N146" s="808">
        <v>0</v>
      </c>
      <c r="O146" s="808">
        <v>0</v>
      </c>
      <c r="P146" s="808">
        <v>0</v>
      </c>
      <c r="Q146" s="808">
        <v>0</v>
      </c>
      <c r="R146" s="808">
        <v>0</v>
      </c>
      <c r="S146" s="809">
        <f t="shared" si="12"/>
        <v>0</v>
      </c>
      <c r="T146" s="810">
        <f t="shared" ca="1" si="13"/>
        <v>-141</v>
      </c>
      <c r="U146" s="811">
        <v>44241</v>
      </c>
      <c r="V146" s="812" t="s">
        <v>2195</v>
      </c>
      <c r="W146" s="813"/>
      <c r="X146" s="814"/>
      <c r="Y146" s="814"/>
      <c r="Z146" s="814"/>
      <c r="AA146" s="814"/>
      <c r="AB146" s="814"/>
      <c r="AC146" s="815"/>
      <c r="AD146" s="816">
        <v>43327</v>
      </c>
      <c r="AE146" s="817">
        <f t="shared" ca="1" si="14"/>
        <v>-1137</v>
      </c>
      <c r="AF146" s="805" t="s">
        <v>1988</v>
      </c>
    </row>
    <row r="147" spans="1:32" s="820" customFormat="1" ht="89.25" x14ac:dyDescent="0.2">
      <c r="A147" s="821" t="s">
        <v>2150</v>
      </c>
      <c r="B147" s="805"/>
      <c r="C147" s="805" t="s">
        <v>2151</v>
      </c>
      <c r="D147" s="806" t="s">
        <v>2196</v>
      </c>
      <c r="E147" s="806" t="s">
        <v>2153</v>
      </c>
      <c r="F147" s="807">
        <v>0</v>
      </c>
      <c r="G147" s="808">
        <v>0</v>
      </c>
      <c r="H147" s="808">
        <v>0</v>
      </c>
      <c r="I147" s="808">
        <v>0</v>
      </c>
      <c r="J147" s="808">
        <v>0</v>
      </c>
      <c r="K147" s="808">
        <v>0</v>
      </c>
      <c r="L147" s="808">
        <v>0</v>
      </c>
      <c r="M147" s="808">
        <v>0</v>
      </c>
      <c r="N147" s="808">
        <v>0</v>
      </c>
      <c r="O147" s="808">
        <v>0</v>
      </c>
      <c r="P147" s="808">
        <v>0</v>
      </c>
      <c r="Q147" s="808">
        <v>0</v>
      </c>
      <c r="R147" s="808">
        <v>0</v>
      </c>
      <c r="S147" s="809">
        <f t="shared" si="12"/>
        <v>0</v>
      </c>
      <c r="T147" s="810">
        <f t="shared" ca="1" si="13"/>
        <v>-142</v>
      </c>
      <c r="U147" s="811">
        <v>44240</v>
      </c>
      <c r="V147" s="812" t="s">
        <v>2189</v>
      </c>
      <c r="W147" s="813"/>
      <c r="X147" s="814"/>
      <c r="Y147" s="814"/>
      <c r="Z147" s="814"/>
      <c r="AA147" s="814"/>
      <c r="AB147" s="814"/>
      <c r="AC147" s="815"/>
      <c r="AD147" s="816">
        <v>43326</v>
      </c>
      <c r="AE147" s="817">
        <f t="shared" ca="1" si="14"/>
        <v>-1136</v>
      </c>
      <c r="AF147" s="805" t="s">
        <v>1988</v>
      </c>
    </row>
    <row r="148" spans="1:32" s="820" customFormat="1" ht="89.25" x14ac:dyDescent="0.2">
      <c r="A148" s="821" t="s">
        <v>2150</v>
      </c>
      <c r="B148" s="805"/>
      <c r="C148" s="805" t="s">
        <v>2151</v>
      </c>
      <c r="D148" s="806" t="s">
        <v>2197</v>
      </c>
      <c r="E148" s="806" t="s">
        <v>2153</v>
      </c>
      <c r="F148" s="807">
        <v>0</v>
      </c>
      <c r="G148" s="808">
        <v>0</v>
      </c>
      <c r="H148" s="808">
        <v>0</v>
      </c>
      <c r="I148" s="808">
        <v>0</v>
      </c>
      <c r="J148" s="808">
        <v>0</v>
      </c>
      <c r="K148" s="808">
        <v>0</v>
      </c>
      <c r="L148" s="808">
        <v>0</v>
      </c>
      <c r="M148" s="808">
        <v>0</v>
      </c>
      <c r="N148" s="808">
        <v>0</v>
      </c>
      <c r="O148" s="808">
        <v>0</v>
      </c>
      <c r="P148" s="808">
        <v>0</v>
      </c>
      <c r="Q148" s="808">
        <v>0</v>
      </c>
      <c r="R148" s="808">
        <v>0</v>
      </c>
      <c r="S148" s="809">
        <f t="shared" si="12"/>
        <v>0</v>
      </c>
      <c r="T148" s="810">
        <f t="shared" ca="1" si="13"/>
        <v>-142</v>
      </c>
      <c r="U148" s="811">
        <v>44240</v>
      </c>
      <c r="V148" s="812" t="s">
        <v>2189</v>
      </c>
      <c r="W148" s="813"/>
      <c r="X148" s="814"/>
      <c r="Y148" s="814"/>
      <c r="Z148" s="814"/>
      <c r="AA148" s="814"/>
      <c r="AB148" s="814"/>
      <c r="AC148" s="815"/>
      <c r="AD148" s="816">
        <v>43326</v>
      </c>
      <c r="AE148" s="817">
        <f t="shared" ca="1" si="14"/>
        <v>-1136</v>
      </c>
      <c r="AF148" s="805" t="s">
        <v>1988</v>
      </c>
    </row>
    <row r="149" spans="1:32" s="820" customFormat="1" ht="89.25" x14ac:dyDescent="0.2">
      <c r="A149" s="821" t="s">
        <v>2150</v>
      </c>
      <c r="B149" s="805"/>
      <c r="C149" s="805" t="s">
        <v>2151</v>
      </c>
      <c r="D149" s="806" t="s">
        <v>2198</v>
      </c>
      <c r="E149" s="806" t="s">
        <v>2153</v>
      </c>
      <c r="F149" s="807">
        <v>0</v>
      </c>
      <c r="G149" s="808">
        <v>0</v>
      </c>
      <c r="H149" s="808">
        <v>0</v>
      </c>
      <c r="I149" s="808">
        <v>0</v>
      </c>
      <c r="J149" s="808">
        <v>0</v>
      </c>
      <c r="K149" s="808">
        <v>0</v>
      </c>
      <c r="L149" s="808">
        <v>0</v>
      </c>
      <c r="M149" s="808">
        <v>0</v>
      </c>
      <c r="N149" s="808">
        <v>0</v>
      </c>
      <c r="O149" s="808">
        <v>0</v>
      </c>
      <c r="P149" s="808">
        <v>0</v>
      </c>
      <c r="Q149" s="808">
        <v>0</v>
      </c>
      <c r="R149" s="808">
        <v>0</v>
      </c>
      <c r="S149" s="809">
        <f t="shared" si="12"/>
        <v>0</v>
      </c>
      <c r="T149" s="810">
        <f t="shared" ca="1" si="13"/>
        <v>-142</v>
      </c>
      <c r="U149" s="811">
        <v>44240</v>
      </c>
      <c r="V149" s="812" t="s">
        <v>2189</v>
      </c>
      <c r="W149" s="813"/>
      <c r="X149" s="814"/>
      <c r="Y149" s="814"/>
      <c r="Z149" s="814"/>
      <c r="AA149" s="814"/>
      <c r="AB149" s="814"/>
      <c r="AC149" s="815"/>
      <c r="AD149" s="816">
        <v>43326</v>
      </c>
      <c r="AE149" s="817">
        <f t="shared" ca="1" si="14"/>
        <v>-1136</v>
      </c>
      <c r="AF149" s="805" t="s">
        <v>1988</v>
      </c>
    </row>
    <row r="150" spans="1:32" s="820" customFormat="1" ht="89.25" x14ac:dyDescent="0.2">
      <c r="A150" s="821" t="s">
        <v>2150</v>
      </c>
      <c r="B150" s="805"/>
      <c r="C150" s="805" t="s">
        <v>2151</v>
      </c>
      <c r="D150" s="806" t="s">
        <v>2199</v>
      </c>
      <c r="E150" s="806" t="s">
        <v>2153</v>
      </c>
      <c r="F150" s="807">
        <v>0</v>
      </c>
      <c r="G150" s="808">
        <v>0</v>
      </c>
      <c r="H150" s="808">
        <v>0</v>
      </c>
      <c r="I150" s="808">
        <v>0</v>
      </c>
      <c r="J150" s="808">
        <v>0</v>
      </c>
      <c r="K150" s="808">
        <v>0</v>
      </c>
      <c r="L150" s="808">
        <v>0</v>
      </c>
      <c r="M150" s="808">
        <v>0</v>
      </c>
      <c r="N150" s="808">
        <v>0</v>
      </c>
      <c r="O150" s="808">
        <v>0</v>
      </c>
      <c r="P150" s="808">
        <v>0</v>
      </c>
      <c r="Q150" s="808">
        <v>0</v>
      </c>
      <c r="R150" s="808">
        <v>0</v>
      </c>
      <c r="S150" s="809">
        <f t="shared" si="12"/>
        <v>0</v>
      </c>
      <c r="T150" s="810">
        <f t="shared" ca="1" si="13"/>
        <v>-142</v>
      </c>
      <c r="U150" s="811">
        <v>44240</v>
      </c>
      <c r="V150" s="812" t="s">
        <v>2189</v>
      </c>
      <c r="W150" s="813"/>
      <c r="X150" s="814"/>
      <c r="Y150" s="814"/>
      <c r="Z150" s="814"/>
      <c r="AA150" s="814"/>
      <c r="AB150" s="814"/>
      <c r="AC150" s="815"/>
      <c r="AD150" s="816">
        <v>43326</v>
      </c>
      <c r="AE150" s="817">
        <f t="shared" ca="1" si="14"/>
        <v>-1136</v>
      </c>
      <c r="AF150" s="805" t="s">
        <v>1988</v>
      </c>
    </row>
    <row r="151" spans="1:32" s="820" customFormat="1" ht="89.25" x14ac:dyDescent="0.2">
      <c r="A151" s="821" t="s">
        <v>2150</v>
      </c>
      <c r="B151" s="805"/>
      <c r="C151" s="805" t="s">
        <v>2151</v>
      </c>
      <c r="D151" s="806" t="s">
        <v>2200</v>
      </c>
      <c r="E151" s="806" t="s">
        <v>2153</v>
      </c>
      <c r="F151" s="807">
        <v>0</v>
      </c>
      <c r="G151" s="808">
        <v>0</v>
      </c>
      <c r="H151" s="808">
        <v>0</v>
      </c>
      <c r="I151" s="808">
        <v>0</v>
      </c>
      <c r="J151" s="808">
        <v>0</v>
      </c>
      <c r="K151" s="808">
        <v>0</v>
      </c>
      <c r="L151" s="808">
        <v>0</v>
      </c>
      <c r="M151" s="808">
        <v>0</v>
      </c>
      <c r="N151" s="808">
        <v>0</v>
      </c>
      <c r="O151" s="808">
        <v>0</v>
      </c>
      <c r="P151" s="808">
        <v>0</v>
      </c>
      <c r="Q151" s="808">
        <v>0</v>
      </c>
      <c r="R151" s="808">
        <v>0</v>
      </c>
      <c r="S151" s="809">
        <f t="shared" si="12"/>
        <v>0</v>
      </c>
      <c r="T151" s="810">
        <f t="shared" ca="1" si="13"/>
        <v>-142</v>
      </c>
      <c r="U151" s="811">
        <v>44240</v>
      </c>
      <c r="V151" s="812" t="s">
        <v>2189</v>
      </c>
      <c r="W151" s="813"/>
      <c r="X151" s="814"/>
      <c r="Y151" s="814"/>
      <c r="Z151" s="814"/>
      <c r="AA151" s="814"/>
      <c r="AB151" s="814"/>
      <c r="AC151" s="815"/>
      <c r="AD151" s="816">
        <v>43326</v>
      </c>
      <c r="AE151" s="817">
        <f t="shared" ca="1" si="14"/>
        <v>-1136</v>
      </c>
      <c r="AF151" s="805" t="s">
        <v>1988</v>
      </c>
    </row>
    <row r="152" spans="1:32" s="820" customFormat="1" ht="89.25" x14ac:dyDescent="0.2">
      <c r="A152" s="821" t="s">
        <v>2150</v>
      </c>
      <c r="B152" s="805"/>
      <c r="C152" s="805" t="s">
        <v>2151</v>
      </c>
      <c r="D152" s="806" t="s">
        <v>2201</v>
      </c>
      <c r="E152" s="806" t="s">
        <v>2153</v>
      </c>
      <c r="F152" s="807">
        <v>0</v>
      </c>
      <c r="G152" s="808">
        <v>0</v>
      </c>
      <c r="H152" s="808">
        <v>0</v>
      </c>
      <c r="I152" s="808">
        <v>0</v>
      </c>
      <c r="J152" s="808">
        <v>0</v>
      </c>
      <c r="K152" s="808">
        <v>0</v>
      </c>
      <c r="L152" s="808">
        <v>0</v>
      </c>
      <c r="M152" s="808">
        <v>0</v>
      </c>
      <c r="N152" s="808">
        <v>0</v>
      </c>
      <c r="O152" s="808">
        <v>0</v>
      </c>
      <c r="P152" s="808">
        <v>0</v>
      </c>
      <c r="Q152" s="808">
        <v>0</v>
      </c>
      <c r="R152" s="808">
        <v>0</v>
      </c>
      <c r="S152" s="809">
        <f t="shared" si="12"/>
        <v>0</v>
      </c>
      <c r="T152" s="810">
        <f t="shared" ca="1" si="13"/>
        <v>-142</v>
      </c>
      <c r="U152" s="811">
        <v>44240</v>
      </c>
      <c r="V152" s="812" t="s">
        <v>2189</v>
      </c>
      <c r="W152" s="813"/>
      <c r="X152" s="814"/>
      <c r="Y152" s="814"/>
      <c r="Z152" s="814"/>
      <c r="AA152" s="814"/>
      <c r="AB152" s="814"/>
      <c r="AC152" s="815"/>
      <c r="AD152" s="816">
        <v>43326</v>
      </c>
      <c r="AE152" s="817">
        <f t="shared" ca="1" si="14"/>
        <v>-1136</v>
      </c>
      <c r="AF152" s="805" t="s">
        <v>1988</v>
      </c>
    </row>
    <row r="153" spans="1:32" s="820" customFormat="1" ht="89.25" x14ac:dyDescent="0.2">
      <c r="A153" s="821" t="s">
        <v>2150</v>
      </c>
      <c r="B153" s="805"/>
      <c r="C153" s="805" t="s">
        <v>2151</v>
      </c>
      <c r="D153" s="806" t="s">
        <v>2202</v>
      </c>
      <c r="E153" s="806" t="s">
        <v>2153</v>
      </c>
      <c r="F153" s="807">
        <v>0</v>
      </c>
      <c r="G153" s="808">
        <v>0</v>
      </c>
      <c r="H153" s="808">
        <v>0</v>
      </c>
      <c r="I153" s="808">
        <v>0</v>
      </c>
      <c r="J153" s="808">
        <v>0</v>
      </c>
      <c r="K153" s="808">
        <v>0</v>
      </c>
      <c r="L153" s="808">
        <v>0</v>
      </c>
      <c r="M153" s="808">
        <v>0</v>
      </c>
      <c r="N153" s="808">
        <v>0</v>
      </c>
      <c r="O153" s="808">
        <v>0</v>
      </c>
      <c r="P153" s="808">
        <v>0</v>
      </c>
      <c r="Q153" s="808">
        <v>0</v>
      </c>
      <c r="R153" s="808">
        <v>0</v>
      </c>
      <c r="S153" s="809">
        <f t="shared" si="12"/>
        <v>0</v>
      </c>
      <c r="T153" s="810">
        <f t="shared" ca="1" si="13"/>
        <v>-134</v>
      </c>
      <c r="U153" s="811">
        <v>44248</v>
      </c>
      <c r="V153" s="812" t="s">
        <v>2184</v>
      </c>
      <c r="W153" s="813"/>
      <c r="X153" s="814"/>
      <c r="Y153" s="814"/>
      <c r="Z153" s="814"/>
      <c r="AA153" s="814"/>
      <c r="AB153" s="814"/>
      <c r="AC153" s="815"/>
      <c r="AD153" s="816">
        <v>43334</v>
      </c>
      <c r="AE153" s="817">
        <f t="shared" ca="1" si="14"/>
        <v>-1144</v>
      </c>
      <c r="AF153" s="805" t="s">
        <v>1988</v>
      </c>
    </row>
    <row r="154" spans="1:32" s="820" customFormat="1" ht="89.25" x14ac:dyDescent="0.2">
      <c r="A154" s="821" t="s">
        <v>2150</v>
      </c>
      <c r="B154" s="805"/>
      <c r="C154" s="805" t="s">
        <v>2151</v>
      </c>
      <c r="D154" s="806" t="s">
        <v>2203</v>
      </c>
      <c r="E154" s="806" t="s">
        <v>2153</v>
      </c>
      <c r="F154" s="807">
        <v>0</v>
      </c>
      <c r="G154" s="808">
        <v>0</v>
      </c>
      <c r="H154" s="808">
        <v>0</v>
      </c>
      <c r="I154" s="808">
        <v>0</v>
      </c>
      <c r="J154" s="808">
        <v>0</v>
      </c>
      <c r="K154" s="808">
        <v>0</v>
      </c>
      <c r="L154" s="808">
        <v>0</v>
      </c>
      <c r="M154" s="808">
        <v>0</v>
      </c>
      <c r="N154" s="808">
        <v>0</v>
      </c>
      <c r="O154" s="808">
        <v>0</v>
      </c>
      <c r="P154" s="808">
        <v>0</v>
      </c>
      <c r="Q154" s="808">
        <v>0</v>
      </c>
      <c r="R154" s="808">
        <v>0</v>
      </c>
      <c r="S154" s="809">
        <f t="shared" si="12"/>
        <v>0</v>
      </c>
      <c r="T154" s="810">
        <f t="shared" ca="1" si="13"/>
        <v>-134</v>
      </c>
      <c r="U154" s="811">
        <v>44248</v>
      </c>
      <c r="V154" s="812" t="s">
        <v>2184</v>
      </c>
      <c r="W154" s="813"/>
      <c r="X154" s="814"/>
      <c r="Y154" s="814"/>
      <c r="Z154" s="814"/>
      <c r="AA154" s="814"/>
      <c r="AB154" s="814"/>
      <c r="AC154" s="815"/>
      <c r="AD154" s="816">
        <v>43334</v>
      </c>
      <c r="AE154" s="817">
        <f t="shared" ca="1" si="14"/>
        <v>-1144</v>
      </c>
      <c r="AF154" s="805" t="s">
        <v>1988</v>
      </c>
    </row>
    <row r="155" spans="1:32" s="820" customFormat="1" ht="89.25" x14ac:dyDescent="0.2">
      <c r="A155" s="821" t="s">
        <v>2150</v>
      </c>
      <c r="B155" s="805"/>
      <c r="C155" s="805" t="s">
        <v>2151</v>
      </c>
      <c r="D155" s="806" t="s">
        <v>2204</v>
      </c>
      <c r="E155" s="806" t="s">
        <v>2153</v>
      </c>
      <c r="F155" s="807">
        <v>0</v>
      </c>
      <c r="G155" s="808">
        <v>0</v>
      </c>
      <c r="H155" s="808">
        <v>0</v>
      </c>
      <c r="I155" s="808">
        <v>0</v>
      </c>
      <c r="J155" s="808">
        <v>0</v>
      </c>
      <c r="K155" s="808">
        <v>0</v>
      </c>
      <c r="L155" s="808">
        <v>0</v>
      </c>
      <c r="M155" s="808">
        <v>0</v>
      </c>
      <c r="N155" s="808">
        <v>0</v>
      </c>
      <c r="O155" s="808">
        <v>0</v>
      </c>
      <c r="P155" s="808">
        <v>0</v>
      </c>
      <c r="Q155" s="808">
        <v>0</v>
      </c>
      <c r="R155" s="808">
        <v>0</v>
      </c>
      <c r="S155" s="809">
        <f t="shared" si="12"/>
        <v>0</v>
      </c>
      <c r="T155" s="810">
        <f t="shared" ca="1" si="13"/>
        <v>-134</v>
      </c>
      <c r="U155" s="811">
        <v>44248</v>
      </c>
      <c r="V155" s="812" t="s">
        <v>2184</v>
      </c>
      <c r="W155" s="813"/>
      <c r="X155" s="814"/>
      <c r="Y155" s="814"/>
      <c r="Z155" s="814"/>
      <c r="AA155" s="814"/>
      <c r="AB155" s="814"/>
      <c r="AC155" s="815"/>
      <c r="AD155" s="816">
        <v>43334</v>
      </c>
      <c r="AE155" s="817">
        <f t="shared" ca="1" si="14"/>
        <v>-1144</v>
      </c>
      <c r="AF155" s="805" t="s">
        <v>1988</v>
      </c>
    </row>
    <row r="156" spans="1:32" s="820" customFormat="1" ht="89.25" x14ac:dyDescent="0.2">
      <c r="A156" s="821" t="s">
        <v>2150</v>
      </c>
      <c r="B156" s="805"/>
      <c r="C156" s="805" t="s">
        <v>2151</v>
      </c>
      <c r="D156" s="806" t="s">
        <v>2235</v>
      </c>
      <c r="E156" s="806" t="s">
        <v>2153</v>
      </c>
      <c r="F156" s="807">
        <v>0</v>
      </c>
      <c r="G156" s="808">
        <v>0</v>
      </c>
      <c r="H156" s="808">
        <v>0</v>
      </c>
      <c r="I156" s="808">
        <v>0</v>
      </c>
      <c r="J156" s="808">
        <v>0</v>
      </c>
      <c r="K156" s="808">
        <v>0</v>
      </c>
      <c r="L156" s="808">
        <v>0</v>
      </c>
      <c r="M156" s="808">
        <v>0</v>
      </c>
      <c r="N156" s="808">
        <v>0</v>
      </c>
      <c r="O156" s="808">
        <v>0</v>
      </c>
      <c r="P156" s="808">
        <v>0</v>
      </c>
      <c r="Q156" s="808">
        <v>0</v>
      </c>
      <c r="R156" s="808">
        <v>0</v>
      </c>
      <c r="S156" s="809">
        <f t="shared" si="12"/>
        <v>0</v>
      </c>
      <c r="T156" s="810">
        <f t="shared" ca="1" si="13"/>
        <v>-134</v>
      </c>
      <c r="U156" s="811">
        <v>44248</v>
      </c>
      <c r="V156" s="812" t="s">
        <v>2184</v>
      </c>
      <c r="W156" s="813"/>
      <c r="X156" s="814"/>
      <c r="Y156" s="814"/>
      <c r="Z156" s="814"/>
      <c r="AA156" s="814"/>
      <c r="AB156" s="814"/>
      <c r="AC156" s="815"/>
      <c r="AD156" s="816">
        <v>43334</v>
      </c>
      <c r="AE156" s="817">
        <f t="shared" ca="1" si="14"/>
        <v>-1144</v>
      </c>
      <c r="AF156" s="805" t="s">
        <v>1988</v>
      </c>
    </row>
    <row r="157" spans="1:32" s="820" customFormat="1" ht="89.25" x14ac:dyDescent="0.2">
      <c r="A157" s="821" t="s">
        <v>2150</v>
      </c>
      <c r="B157" s="805"/>
      <c r="C157" s="805" t="s">
        <v>2151</v>
      </c>
      <c r="D157" s="806" t="s">
        <v>2205</v>
      </c>
      <c r="E157" s="806" t="s">
        <v>2153</v>
      </c>
      <c r="F157" s="807">
        <v>0</v>
      </c>
      <c r="G157" s="808">
        <v>0</v>
      </c>
      <c r="H157" s="808">
        <v>0</v>
      </c>
      <c r="I157" s="808">
        <v>0</v>
      </c>
      <c r="J157" s="808">
        <v>0</v>
      </c>
      <c r="K157" s="808">
        <v>0</v>
      </c>
      <c r="L157" s="808">
        <v>0</v>
      </c>
      <c r="M157" s="808">
        <v>0</v>
      </c>
      <c r="N157" s="808">
        <v>0</v>
      </c>
      <c r="O157" s="808">
        <v>0</v>
      </c>
      <c r="P157" s="808">
        <v>0</v>
      </c>
      <c r="Q157" s="808">
        <v>0</v>
      </c>
      <c r="R157" s="808">
        <v>0</v>
      </c>
      <c r="S157" s="809">
        <f t="shared" si="12"/>
        <v>0</v>
      </c>
      <c r="T157" s="810">
        <f t="shared" ca="1" si="13"/>
        <v>-134</v>
      </c>
      <c r="U157" s="811">
        <v>44248</v>
      </c>
      <c r="V157" s="812" t="s">
        <v>2184</v>
      </c>
      <c r="W157" s="813"/>
      <c r="X157" s="814"/>
      <c r="Y157" s="814"/>
      <c r="Z157" s="814"/>
      <c r="AA157" s="814"/>
      <c r="AB157" s="814"/>
      <c r="AC157" s="815"/>
      <c r="AD157" s="816">
        <v>43334</v>
      </c>
      <c r="AE157" s="817">
        <f t="shared" ca="1" si="14"/>
        <v>-1144</v>
      </c>
      <c r="AF157" s="805" t="s">
        <v>1988</v>
      </c>
    </row>
    <row r="158" spans="1:32" s="820" customFormat="1" ht="89.25" x14ac:dyDescent="0.2">
      <c r="A158" s="821" t="s">
        <v>2150</v>
      </c>
      <c r="B158" s="805"/>
      <c r="C158" s="805" t="s">
        <v>2151</v>
      </c>
      <c r="D158" s="806" t="s">
        <v>2206</v>
      </c>
      <c r="E158" s="806" t="s">
        <v>2153</v>
      </c>
      <c r="F158" s="807">
        <v>0</v>
      </c>
      <c r="G158" s="808">
        <v>0</v>
      </c>
      <c r="H158" s="808">
        <v>0</v>
      </c>
      <c r="I158" s="808">
        <v>0</v>
      </c>
      <c r="J158" s="808">
        <v>0</v>
      </c>
      <c r="K158" s="808">
        <v>0</v>
      </c>
      <c r="L158" s="808">
        <v>0</v>
      </c>
      <c r="M158" s="808">
        <v>0</v>
      </c>
      <c r="N158" s="808">
        <v>0</v>
      </c>
      <c r="O158" s="808">
        <v>0</v>
      </c>
      <c r="P158" s="808">
        <v>0</v>
      </c>
      <c r="Q158" s="808">
        <v>0</v>
      </c>
      <c r="R158" s="808">
        <v>0</v>
      </c>
      <c r="S158" s="809">
        <f t="shared" si="12"/>
        <v>0</v>
      </c>
      <c r="T158" s="810">
        <f t="shared" ca="1" si="13"/>
        <v>-134</v>
      </c>
      <c r="U158" s="811">
        <v>44248</v>
      </c>
      <c r="V158" s="812" t="s">
        <v>2184</v>
      </c>
      <c r="W158" s="813"/>
      <c r="X158" s="814"/>
      <c r="Y158" s="814"/>
      <c r="Z158" s="814"/>
      <c r="AA158" s="814"/>
      <c r="AB158" s="814"/>
      <c r="AC158" s="815"/>
      <c r="AD158" s="816">
        <v>43334</v>
      </c>
      <c r="AE158" s="817">
        <f t="shared" ca="1" si="14"/>
        <v>-1144</v>
      </c>
      <c r="AF158" s="805" t="s">
        <v>1988</v>
      </c>
    </row>
    <row r="159" spans="1:32" s="820" customFormat="1" ht="89.25" x14ac:dyDescent="0.2">
      <c r="A159" s="821" t="s">
        <v>2150</v>
      </c>
      <c r="B159" s="805"/>
      <c r="C159" s="805" t="s">
        <v>2151</v>
      </c>
      <c r="D159" s="806" t="s">
        <v>2207</v>
      </c>
      <c r="E159" s="806" t="s">
        <v>2153</v>
      </c>
      <c r="F159" s="807">
        <v>0</v>
      </c>
      <c r="G159" s="808">
        <v>0</v>
      </c>
      <c r="H159" s="808">
        <v>0</v>
      </c>
      <c r="I159" s="808">
        <v>0</v>
      </c>
      <c r="J159" s="808">
        <v>0</v>
      </c>
      <c r="K159" s="808">
        <v>0</v>
      </c>
      <c r="L159" s="808">
        <v>0</v>
      </c>
      <c r="M159" s="808">
        <v>0</v>
      </c>
      <c r="N159" s="808">
        <v>0</v>
      </c>
      <c r="O159" s="808">
        <v>0</v>
      </c>
      <c r="P159" s="808">
        <v>0</v>
      </c>
      <c r="Q159" s="808">
        <v>0</v>
      </c>
      <c r="R159" s="808">
        <v>0</v>
      </c>
      <c r="S159" s="809">
        <f t="shared" si="12"/>
        <v>0</v>
      </c>
      <c r="T159" s="810">
        <f t="shared" ca="1" si="13"/>
        <v>-134</v>
      </c>
      <c r="U159" s="811">
        <v>44248</v>
      </c>
      <c r="V159" s="812" t="s">
        <v>2184</v>
      </c>
      <c r="W159" s="813"/>
      <c r="X159" s="814"/>
      <c r="Y159" s="814"/>
      <c r="Z159" s="814"/>
      <c r="AA159" s="814"/>
      <c r="AB159" s="814"/>
      <c r="AC159" s="815"/>
      <c r="AD159" s="816">
        <v>43334</v>
      </c>
      <c r="AE159" s="817">
        <f t="shared" ca="1" si="14"/>
        <v>-1144</v>
      </c>
      <c r="AF159" s="805" t="s">
        <v>1988</v>
      </c>
    </row>
    <row r="160" spans="1:32" s="820" customFormat="1" ht="89.25" x14ac:dyDescent="0.2">
      <c r="A160" s="821" t="s">
        <v>2150</v>
      </c>
      <c r="B160" s="805"/>
      <c r="C160" s="805" t="s">
        <v>2151</v>
      </c>
      <c r="D160" s="806" t="s">
        <v>2208</v>
      </c>
      <c r="E160" s="806" t="s">
        <v>2153</v>
      </c>
      <c r="F160" s="807">
        <v>0</v>
      </c>
      <c r="G160" s="808">
        <v>0</v>
      </c>
      <c r="H160" s="808">
        <v>0</v>
      </c>
      <c r="I160" s="808">
        <v>0</v>
      </c>
      <c r="J160" s="808">
        <v>0</v>
      </c>
      <c r="K160" s="808">
        <v>0</v>
      </c>
      <c r="L160" s="808">
        <v>0</v>
      </c>
      <c r="M160" s="808">
        <v>0</v>
      </c>
      <c r="N160" s="808">
        <v>0</v>
      </c>
      <c r="O160" s="808">
        <v>0</v>
      </c>
      <c r="P160" s="808">
        <v>0</v>
      </c>
      <c r="Q160" s="808">
        <v>0</v>
      </c>
      <c r="R160" s="808">
        <v>0</v>
      </c>
      <c r="S160" s="809">
        <f t="shared" si="12"/>
        <v>0</v>
      </c>
      <c r="T160" s="810">
        <f t="shared" ca="1" si="13"/>
        <v>-134</v>
      </c>
      <c r="U160" s="811">
        <v>44248</v>
      </c>
      <c r="V160" s="812" t="s">
        <v>2184</v>
      </c>
      <c r="W160" s="813"/>
      <c r="X160" s="814"/>
      <c r="Y160" s="814"/>
      <c r="Z160" s="814"/>
      <c r="AA160" s="814"/>
      <c r="AB160" s="814"/>
      <c r="AC160" s="815"/>
      <c r="AD160" s="816">
        <v>43334</v>
      </c>
      <c r="AE160" s="817">
        <f t="shared" ca="1" si="14"/>
        <v>-1144</v>
      </c>
      <c r="AF160" s="805" t="s">
        <v>1988</v>
      </c>
    </row>
    <row r="161" spans="1:32" s="820" customFormat="1" ht="89.25" x14ac:dyDescent="0.2">
      <c r="A161" s="821" t="s">
        <v>2150</v>
      </c>
      <c r="B161" s="805"/>
      <c r="C161" s="805" t="s">
        <v>2151</v>
      </c>
      <c r="D161" s="806" t="s">
        <v>2209</v>
      </c>
      <c r="E161" s="806" t="s">
        <v>2153</v>
      </c>
      <c r="F161" s="807">
        <v>0</v>
      </c>
      <c r="G161" s="808">
        <v>0</v>
      </c>
      <c r="H161" s="808">
        <v>0</v>
      </c>
      <c r="I161" s="808">
        <v>0</v>
      </c>
      <c r="J161" s="808">
        <v>0</v>
      </c>
      <c r="K161" s="808">
        <v>0</v>
      </c>
      <c r="L161" s="808">
        <v>0</v>
      </c>
      <c r="M161" s="808">
        <v>0</v>
      </c>
      <c r="N161" s="808">
        <v>0</v>
      </c>
      <c r="O161" s="808">
        <v>0</v>
      </c>
      <c r="P161" s="808">
        <v>0</v>
      </c>
      <c r="Q161" s="808">
        <v>0</v>
      </c>
      <c r="R161" s="808">
        <v>0</v>
      </c>
      <c r="S161" s="809">
        <f t="shared" si="12"/>
        <v>0</v>
      </c>
      <c r="T161" s="810">
        <f t="shared" ca="1" si="13"/>
        <v>-134</v>
      </c>
      <c r="U161" s="811">
        <v>44248</v>
      </c>
      <c r="V161" s="812" t="s">
        <v>2184</v>
      </c>
      <c r="W161" s="813"/>
      <c r="X161" s="814"/>
      <c r="Y161" s="814"/>
      <c r="Z161" s="814"/>
      <c r="AA161" s="814"/>
      <c r="AB161" s="814"/>
      <c r="AC161" s="815"/>
      <c r="AD161" s="816">
        <v>43334</v>
      </c>
      <c r="AE161" s="817">
        <f t="shared" ca="1" si="14"/>
        <v>-1144</v>
      </c>
      <c r="AF161" s="805" t="s">
        <v>1988</v>
      </c>
    </row>
    <row r="162" spans="1:32" s="820" customFormat="1" ht="89.25" x14ac:dyDescent="0.2">
      <c r="A162" s="821" t="s">
        <v>2150</v>
      </c>
      <c r="B162" s="805"/>
      <c r="C162" s="805" t="s">
        <v>2151</v>
      </c>
      <c r="D162" s="806" t="s">
        <v>2210</v>
      </c>
      <c r="E162" s="806" t="s">
        <v>2153</v>
      </c>
      <c r="F162" s="807">
        <v>0</v>
      </c>
      <c r="G162" s="808">
        <v>0</v>
      </c>
      <c r="H162" s="808">
        <v>0</v>
      </c>
      <c r="I162" s="808">
        <v>0</v>
      </c>
      <c r="J162" s="808">
        <v>0</v>
      </c>
      <c r="K162" s="808">
        <v>0</v>
      </c>
      <c r="L162" s="808">
        <v>0</v>
      </c>
      <c r="M162" s="808">
        <v>0</v>
      </c>
      <c r="N162" s="808">
        <v>0</v>
      </c>
      <c r="O162" s="808">
        <v>0</v>
      </c>
      <c r="P162" s="808">
        <v>0</v>
      </c>
      <c r="Q162" s="808">
        <v>0</v>
      </c>
      <c r="R162" s="808">
        <v>0</v>
      </c>
      <c r="S162" s="809">
        <f t="shared" si="12"/>
        <v>0</v>
      </c>
      <c r="T162" s="810">
        <f t="shared" ca="1" si="13"/>
        <v>-134</v>
      </c>
      <c r="U162" s="811">
        <v>44248</v>
      </c>
      <c r="V162" s="812" t="s">
        <v>2184</v>
      </c>
      <c r="W162" s="813"/>
      <c r="X162" s="814"/>
      <c r="Y162" s="814"/>
      <c r="Z162" s="814"/>
      <c r="AA162" s="814"/>
      <c r="AB162" s="814"/>
      <c r="AC162" s="815"/>
      <c r="AD162" s="816">
        <v>43334</v>
      </c>
      <c r="AE162" s="817">
        <f t="shared" ca="1" si="14"/>
        <v>-1144</v>
      </c>
      <c r="AF162" s="805" t="s">
        <v>1988</v>
      </c>
    </row>
    <row r="163" spans="1:32" s="820" customFormat="1" ht="89.25" x14ac:dyDescent="0.2">
      <c r="A163" s="821" t="s">
        <v>2150</v>
      </c>
      <c r="B163" s="805"/>
      <c r="C163" s="805" t="s">
        <v>2151</v>
      </c>
      <c r="D163" s="806" t="s">
        <v>2211</v>
      </c>
      <c r="E163" s="806" t="s">
        <v>2153</v>
      </c>
      <c r="F163" s="807">
        <v>0</v>
      </c>
      <c r="G163" s="808">
        <v>0</v>
      </c>
      <c r="H163" s="808">
        <v>0</v>
      </c>
      <c r="I163" s="808">
        <v>0</v>
      </c>
      <c r="J163" s="808">
        <v>0</v>
      </c>
      <c r="K163" s="808">
        <v>0</v>
      </c>
      <c r="L163" s="808">
        <v>0</v>
      </c>
      <c r="M163" s="808">
        <v>0</v>
      </c>
      <c r="N163" s="808">
        <v>0</v>
      </c>
      <c r="O163" s="808">
        <v>0</v>
      </c>
      <c r="P163" s="808">
        <v>0</v>
      </c>
      <c r="Q163" s="808">
        <v>0</v>
      </c>
      <c r="R163" s="808">
        <v>0</v>
      </c>
      <c r="S163" s="809">
        <f t="shared" si="12"/>
        <v>0</v>
      </c>
      <c r="T163" s="810">
        <f t="shared" ca="1" si="13"/>
        <v>-134</v>
      </c>
      <c r="U163" s="811">
        <v>44248</v>
      </c>
      <c r="V163" s="812" t="s">
        <v>2184</v>
      </c>
      <c r="W163" s="813"/>
      <c r="X163" s="814"/>
      <c r="Y163" s="814"/>
      <c r="Z163" s="814"/>
      <c r="AA163" s="814"/>
      <c r="AB163" s="814"/>
      <c r="AC163" s="815"/>
      <c r="AD163" s="816">
        <v>43334</v>
      </c>
      <c r="AE163" s="817">
        <f t="shared" ca="1" si="14"/>
        <v>-1144</v>
      </c>
      <c r="AF163" s="805" t="s">
        <v>1988</v>
      </c>
    </row>
    <row r="164" spans="1:32" s="820" customFormat="1" ht="89.25" x14ac:dyDescent="0.2">
      <c r="A164" s="821" t="s">
        <v>2150</v>
      </c>
      <c r="B164" s="805"/>
      <c r="C164" s="805" t="s">
        <v>2151</v>
      </c>
      <c r="D164" s="806" t="s">
        <v>2212</v>
      </c>
      <c r="E164" s="806" t="s">
        <v>2153</v>
      </c>
      <c r="F164" s="807">
        <v>0</v>
      </c>
      <c r="G164" s="808">
        <v>0</v>
      </c>
      <c r="H164" s="808">
        <v>0</v>
      </c>
      <c r="I164" s="808">
        <v>0</v>
      </c>
      <c r="J164" s="808">
        <v>0</v>
      </c>
      <c r="K164" s="808">
        <v>0</v>
      </c>
      <c r="L164" s="808">
        <v>0</v>
      </c>
      <c r="M164" s="808">
        <v>0</v>
      </c>
      <c r="N164" s="808">
        <v>0</v>
      </c>
      <c r="O164" s="808">
        <v>0</v>
      </c>
      <c r="P164" s="808">
        <v>0</v>
      </c>
      <c r="Q164" s="808">
        <v>0</v>
      </c>
      <c r="R164" s="808">
        <v>0</v>
      </c>
      <c r="S164" s="809">
        <f t="shared" si="12"/>
        <v>0</v>
      </c>
      <c r="T164" s="810">
        <f t="shared" ca="1" si="13"/>
        <v>-134</v>
      </c>
      <c r="U164" s="811">
        <v>44248</v>
      </c>
      <c r="V164" s="812" t="s">
        <v>2184</v>
      </c>
      <c r="W164" s="813"/>
      <c r="X164" s="814"/>
      <c r="Y164" s="814"/>
      <c r="Z164" s="814"/>
      <c r="AA164" s="814"/>
      <c r="AB164" s="814"/>
      <c r="AC164" s="815"/>
      <c r="AD164" s="816">
        <v>43334</v>
      </c>
      <c r="AE164" s="817">
        <f t="shared" ca="1" si="14"/>
        <v>-1144</v>
      </c>
      <c r="AF164" s="805" t="s">
        <v>1988</v>
      </c>
    </row>
    <row r="165" spans="1:32" s="820" customFormat="1" ht="89.25" x14ac:dyDescent="0.2">
      <c r="A165" s="821" t="s">
        <v>2150</v>
      </c>
      <c r="B165" s="805"/>
      <c r="C165" s="805" t="s">
        <v>2151</v>
      </c>
      <c r="D165" s="806" t="s">
        <v>2158</v>
      </c>
      <c r="E165" s="806" t="s">
        <v>2153</v>
      </c>
      <c r="F165" s="807">
        <v>0</v>
      </c>
      <c r="G165" s="808">
        <v>0</v>
      </c>
      <c r="H165" s="808">
        <v>0</v>
      </c>
      <c r="I165" s="808">
        <v>0</v>
      </c>
      <c r="J165" s="808">
        <v>0</v>
      </c>
      <c r="K165" s="808">
        <v>0</v>
      </c>
      <c r="L165" s="808">
        <v>0</v>
      </c>
      <c r="M165" s="808">
        <v>0</v>
      </c>
      <c r="N165" s="808">
        <v>0</v>
      </c>
      <c r="O165" s="808">
        <v>0</v>
      </c>
      <c r="P165" s="808">
        <v>0</v>
      </c>
      <c r="Q165" s="808">
        <v>0</v>
      </c>
      <c r="R165" s="808">
        <v>0</v>
      </c>
      <c r="S165" s="809">
        <f t="shared" si="12"/>
        <v>0</v>
      </c>
      <c r="T165" s="830">
        <f t="shared" ca="1" si="13"/>
        <v>-134</v>
      </c>
      <c r="U165" s="811">
        <v>44248</v>
      </c>
      <c r="V165" s="831" t="s">
        <v>2184</v>
      </c>
      <c r="W165" s="813"/>
      <c r="X165" s="814"/>
      <c r="Y165" s="814"/>
      <c r="Z165" s="814"/>
      <c r="AA165" s="814"/>
      <c r="AB165" s="814"/>
      <c r="AC165" s="815"/>
      <c r="AD165" s="816">
        <v>43334</v>
      </c>
      <c r="AE165" s="832">
        <f t="shared" ca="1" si="14"/>
        <v>-1144</v>
      </c>
      <c r="AF165" s="805" t="s">
        <v>1988</v>
      </c>
    </row>
    <row r="166" spans="1:32" s="820" customFormat="1" ht="89.25" x14ac:dyDescent="0.2">
      <c r="A166" s="821" t="s">
        <v>2150</v>
      </c>
      <c r="B166" s="805"/>
      <c r="C166" s="805" t="s">
        <v>2151</v>
      </c>
      <c r="D166" s="806" t="s">
        <v>2213</v>
      </c>
      <c r="E166" s="806" t="s">
        <v>2153</v>
      </c>
      <c r="F166" s="807">
        <v>0</v>
      </c>
      <c r="G166" s="808">
        <v>0</v>
      </c>
      <c r="H166" s="808">
        <v>0</v>
      </c>
      <c r="I166" s="808">
        <v>0</v>
      </c>
      <c r="J166" s="808">
        <v>0</v>
      </c>
      <c r="K166" s="808">
        <v>0</v>
      </c>
      <c r="L166" s="808">
        <v>0</v>
      </c>
      <c r="M166" s="808">
        <v>0</v>
      </c>
      <c r="N166" s="808">
        <v>0</v>
      </c>
      <c r="O166" s="808">
        <v>0</v>
      </c>
      <c r="P166" s="808">
        <v>0</v>
      </c>
      <c r="Q166" s="808">
        <v>0</v>
      </c>
      <c r="R166" s="808">
        <v>0</v>
      </c>
      <c r="S166" s="809">
        <f t="shared" si="12"/>
        <v>0</v>
      </c>
      <c r="T166" s="810">
        <f t="shared" ca="1" si="13"/>
        <v>-134</v>
      </c>
      <c r="U166" s="811">
        <v>44248</v>
      </c>
      <c r="V166" s="812" t="s">
        <v>2184</v>
      </c>
      <c r="W166" s="813"/>
      <c r="X166" s="814"/>
      <c r="Y166" s="814"/>
      <c r="Z166" s="814"/>
      <c r="AA166" s="814"/>
      <c r="AB166" s="814"/>
      <c r="AC166" s="815"/>
      <c r="AD166" s="816">
        <v>43334</v>
      </c>
      <c r="AE166" s="817">
        <f t="shared" ca="1" si="14"/>
        <v>-1144</v>
      </c>
      <c r="AF166" s="805" t="s">
        <v>1988</v>
      </c>
    </row>
    <row r="167" spans="1:32" s="820" customFormat="1" ht="89.25" x14ac:dyDescent="0.2">
      <c r="A167" s="821" t="s">
        <v>2150</v>
      </c>
      <c r="B167" s="805"/>
      <c r="C167" s="805" t="s">
        <v>2151</v>
      </c>
      <c r="D167" s="806" t="s">
        <v>2284</v>
      </c>
      <c r="E167" s="806" t="s">
        <v>2153</v>
      </c>
      <c r="F167" s="807">
        <v>0</v>
      </c>
      <c r="G167" s="808">
        <v>0</v>
      </c>
      <c r="H167" s="808">
        <v>0</v>
      </c>
      <c r="I167" s="808">
        <v>0</v>
      </c>
      <c r="J167" s="808">
        <v>0</v>
      </c>
      <c r="K167" s="808">
        <v>0</v>
      </c>
      <c r="L167" s="808">
        <v>0</v>
      </c>
      <c r="M167" s="808">
        <v>0</v>
      </c>
      <c r="N167" s="808">
        <v>0</v>
      </c>
      <c r="O167" s="808">
        <v>0</v>
      </c>
      <c r="P167" s="808">
        <v>0</v>
      </c>
      <c r="Q167" s="808">
        <v>0</v>
      </c>
      <c r="R167" s="808">
        <v>0</v>
      </c>
      <c r="S167" s="809">
        <f t="shared" si="12"/>
        <v>0</v>
      </c>
      <c r="T167" s="810">
        <f t="shared" ca="1" si="13"/>
        <v>-134</v>
      </c>
      <c r="U167" s="811">
        <v>44248</v>
      </c>
      <c r="V167" s="812" t="s">
        <v>2184</v>
      </c>
      <c r="W167" s="813"/>
      <c r="X167" s="814"/>
      <c r="Y167" s="814"/>
      <c r="Z167" s="814"/>
      <c r="AA167" s="814"/>
      <c r="AB167" s="814"/>
      <c r="AC167" s="815"/>
      <c r="AD167" s="816">
        <v>43334</v>
      </c>
      <c r="AE167" s="817">
        <f t="shared" ca="1" si="14"/>
        <v>-1144</v>
      </c>
      <c r="AF167" s="805" t="s">
        <v>1988</v>
      </c>
    </row>
    <row r="168" spans="1:32" s="820" customFormat="1" ht="89.25" x14ac:dyDescent="0.2">
      <c r="A168" s="821" t="s">
        <v>2150</v>
      </c>
      <c r="B168" s="805"/>
      <c r="C168" s="805" t="s">
        <v>2151</v>
      </c>
      <c r="D168" s="806" t="s">
        <v>2215</v>
      </c>
      <c r="E168" s="806" t="s">
        <v>2153</v>
      </c>
      <c r="F168" s="807">
        <v>0</v>
      </c>
      <c r="G168" s="808">
        <v>0</v>
      </c>
      <c r="H168" s="808">
        <v>0</v>
      </c>
      <c r="I168" s="808">
        <v>0</v>
      </c>
      <c r="J168" s="808">
        <v>0</v>
      </c>
      <c r="K168" s="808">
        <v>0</v>
      </c>
      <c r="L168" s="808">
        <v>0</v>
      </c>
      <c r="M168" s="808">
        <v>0</v>
      </c>
      <c r="N168" s="808">
        <v>0</v>
      </c>
      <c r="O168" s="808">
        <v>0</v>
      </c>
      <c r="P168" s="808">
        <v>0</v>
      </c>
      <c r="Q168" s="808">
        <v>0</v>
      </c>
      <c r="R168" s="808">
        <v>0</v>
      </c>
      <c r="S168" s="809">
        <f t="shared" si="12"/>
        <v>0</v>
      </c>
      <c r="T168" s="810">
        <f t="shared" ca="1" si="13"/>
        <v>-134</v>
      </c>
      <c r="U168" s="811">
        <v>44248</v>
      </c>
      <c r="V168" s="812" t="s">
        <v>2184</v>
      </c>
      <c r="W168" s="813"/>
      <c r="X168" s="814"/>
      <c r="Y168" s="814"/>
      <c r="Z168" s="814"/>
      <c r="AA168" s="814"/>
      <c r="AB168" s="814"/>
      <c r="AC168" s="815"/>
      <c r="AD168" s="816">
        <v>43334</v>
      </c>
      <c r="AE168" s="817">
        <f t="shared" ca="1" si="14"/>
        <v>-1144</v>
      </c>
      <c r="AF168" s="805" t="s">
        <v>1988</v>
      </c>
    </row>
    <row r="169" spans="1:32" s="820" customFormat="1" ht="89.25" x14ac:dyDescent="0.2">
      <c r="A169" s="821" t="s">
        <v>2150</v>
      </c>
      <c r="B169" s="805"/>
      <c r="C169" s="805" t="s">
        <v>2151</v>
      </c>
      <c r="D169" s="806" t="s">
        <v>2216</v>
      </c>
      <c r="E169" s="806" t="s">
        <v>2153</v>
      </c>
      <c r="F169" s="807">
        <v>0</v>
      </c>
      <c r="G169" s="808">
        <v>0</v>
      </c>
      <c r="H169" s="808">
        <v>0</v>
      </c>
      <c r="I169" s="808">
        <v>0</v>
      </c>
      <c r="J169" s="808">
        <v>0</v>
      </c>
      <c r="K169" s="808">
        <v>0</v>
      </c>
      <c r="L169" s="808">
        <v>0</v>
      </c>
      <c r="M169" s="808">
        <v>0</v>
      </c>
      <c r="N169" s="808">
        <v>0</v>
      </c>
      <c r="O169" s="808">
        <v>0</v>
      </c>
      <c r="P169" s="808">
        <v>0</v>
      </c>
      <c r="Q169" s="808">
        <v>0</v>
      </c>
      <c r="R169" s="808">
        <v>0</v>
      </c>
      <c r="S169" s="809">
        <f t="shared" si="12"/>
        <v>0</v>
      </c>
      <c r="T169" s="810">
        <f t="shared" ca="1" si="13"/>
        <v>-134</v>
      </c>
      <c r="U169" s="811">
        <v>44248</v>
      </c>
      <c r="V169" s="812" t="s">
        <v>2184</v>
      </c>
      <c r="W169" s="813"/>
      <c r="X169" s="814"/>
      <c r="Y169" s="814"/>
      <c r="Z169" s="814"/>
      <c r="AA169" s="814"/>
      <c r="AB169" s="814"/>
      <c r="AC169" s="815"/>
      <c r="AD169" s="816">
        <v>43334</v>
      </c>
      <c r="AE169" s="817">
        <f t="shared" ca="1" si="14"/>
        <v>-1144</v>
      </c>
      <c r="AF169" s="805" t="s">
        <v>1988</v>
      </c>
    </row>
    <row r="170" spans="1:32" s="820" customFormat="1" ht="89.25" x14ac:dyDescent="0.2">
      <c r="A170" s="821" t="s">
        <v>2150</v>
      </c>
      <c r="B170" s="805"/>
      <c r="C170" s="805" t="s">
        <v>2151</v>
      </c>
      <c r="D170" s="806" t="s">
        <v>2217</v>
      </c>
      <c r="E170" s="806" t="s">
        <v>2153</v>
      </c>
      <c r="F170" s="807">
        <v>0</v>
      </c>
      <c r="G170" s="808">
        <v>0</v>
      </c>
      <c r="H170" s="808">
        <v>0</v>
      </c>
      <c r="I170" s="808">
        <v>0</v>
      </c>
      <c r="J170" s="808">
        <v>0</v>
      </c>
      <c r="K170" s="808">
        <v>0</v>
      </c>
      <c r="L170" s="808">
        <v>0</v>
      </c>
      <c r="M170" s="808">
        <v>0</v>
      </c>
      <c r="N170" s="808">
        <v>0</v>
      </c>
      <c r="O170" s="808">
        <v>0</v>
      </c>
      <c r="P170" s="808">
        <v>0</v>
      </c>
      <c r="Q170" s="808">
        <v>0</v>
      </c>
      <c r="R170" s="808">
        <v>0</v>
      </c>
      <c r="S170" s="809">
        <f t="shared" si="12"/>
        <v>0</v>
      </c>
      <c r="T170" s="810">
        <f t="shared" ca="1" si="13"/>
        <v>-134</v>
      </c>
      <c r="U170" s="811">
        <v>44248</v>
      </c>
      <c r="V170" s="812" t="s">
        <v>2184</v>
      </c>
      <c r="W170" s="813"/>
      <c r="X170" s="814"/>
      <c r="Y170" s="814"/>
      <c r="Z170" s="814"/>
      <c r="AA170" s="814"/>
      <c r="AB170" s="814"/>
      <c r="AC170" s="815"/>
      <c r="AD170" s="816">
        <v>43334</v>
      </c>
      <c r="AE170" s="817">
        <f t="shared" ca="1" si="14"/>
        <v>-1144</v>
      </c>
      <c r="AF170" s="805" t="s">
        <v>1988</v>
      </c>
    </row>
    <row r="171" spans="1:32" s="820" customFormat="1" ht="89.25" x14ac:dyDescent="0.2">
      <c r="A171" s="821" t="s">
        <v>2150</v>
      </c>
      <c r="B171" s="805"/>
      <c r="C171" s="805" t="s">
        <v>2151</v>
      </c>
      <c r="D171" s="806" t="s">
        <v>2218</v>
      </c>
      <c r="E171" s="806" t="s">
        <v>2153</v>
      </c>
      <c r="F171" s="807">
        <v>0</v>
      </c>
      <c r="G171" s="808">
        <v>0</v>
      </c>
      <c r="H171" s="808">
        <v>0</v>
      </c>
      <c r="I171" s="808">
        <v>0</v>
      </c>
      <c r="J171" s="808">
        <v>0</v>
      </c>
      <c r="K171" s="808">
        <v>0</v>
      </c>
      <c r="L171" s="808">
        <v>0</v>
      </c>
      <c r="M171" s="808">
        <v>0</v>
      </c>
      <c r="N171" s="808">
        <v>0</v>
      </c>
      <c r="O171" s="808">
        <v>0</v>
      </c>
      <c r="P171" s="808">
        <v>0</v>
      </c>
      <c r="Q171" s="808">
        <v>0</v>
      </c>
      <c r="R171" s="808">
        <v>0</v>
      </c>
      <c r="S171" s="809">
        <f t="shared" si="12"/>
        <v>0</v>
      </c>
      <c r="T171" s="810">
        <f t="shared" ca="1" si="13"/>
        <v>-134</v>
      </c>
      <c r="U171" s="811">
        <v>44248</v>
      </c>
      <c r="V171" s="812" t="s">
        <v>2184</v>
      </c>
      <c r="W171" s="813"/>
      <c r="X171" s="814"/>
      <c r="Y171" s="814"/>
      <c r="Z171" s="814"/>
      <c r="AA171" s="814"/>
      <c r="AB171" s="814"/>
      <c r="AC171" s="815"/>
      <c r="AD171" s="816">
        <v>43334</v>
      </c>
      <c r="AE171" s="817">
        <f t="shared" ca="1" si="14"/>
        <v>-1144</v>
      </c>
      <c r="AF171" s="805" t="s">
        <v>1988</v>
      </c>
    </row>
    <row r="172" spans="1:32" s="820" customFormat="1" ht="89.25" x14ac:dyDescent="0.2">
      <c r="A172" s="821" t="s">
        <v>2150</v>
      </c>
      <c r="B172" s="805"/>
      <c r="C172" s="805" t="s">
        <v>2151</v>
      </c>
      <c r="D172" s="806" t="s">
        <v>2219</v>
      </c>
      <c r="E172" s="806" t="s">
        <v>2153</v>
      </c>
      <c r="F172" s="807">
        <v>0</v>
      </c>
      <c r="G172" s="808">
        <v>0</v>
      </c>
      <c r="H172" s="808">
        <v>0</v>
      </c>
      <c r="I172" s="808">
        <v>0</v>
      </c>
      <c r="J172" s="808">
        <v>0</v>
      </c>
      <c r="K172" s="808">
        <v>0</v>
      </c>
      <c r="L172" s="808">
        <v>0</v>
      </c>
      <c r="M172" s="808">
        <v>0</v>
      </c>
      <c r="N172" s="808">
        <v>0</v>
      </c>
      <c r="O172" s="808">
        <v>0</v>
      </c>
      <c r="P172" s="808">
        <v>0</v>
      </c>
      <c r="Q172" s="808">
        <v>0</v>
      </c>
      <c r="R172" s="808">
        <v>0</v>
      </c>
      <c r="S172" s="809">
        <f t="shared" si="12"/>
        <v>0</v>
      </c>
      <c r="T172" s="810">
        <f t="shared" ca="1" si="13"/>
        <v>-134</v>
      </c>
      <c r="U172" s="811">
        <v>44248</v>
      </c>
      <c r="V172" s="812" t="s">
        <v>2184</v>
      </c>
      <c r="W172" s="813"/>
      <c r="X172" s="814"/>
      <c r="Y172" s="814"/>
      <c r="Z172" s="814"/>
      <c r="AA172" s="814"/>
      <c r="AB172" s="814"/>
      <c r="AC172" s="815"/>
      <c r="AD172" s="816">
        <v>43334</v>
      </c>
      <c r="AE172" s="817">
        <f t="shared" ca="1" si="14"/>
        <v>-1144</v>
      </c>
      <c r="AF172" s="805" t="s">
        <v>1988</v>
      </c>
    </row>
    <row r="173" spans="1:32" s="820" customFormat="1" ht="89.25" x14ac:dyDescent="0.2">
      <c r="A173" s="821" t="s">
        <v>2150</v>
      </c>
      <c r="B173" s="805"/>
      <c r="C173" s="805" t="s">
        <v>2151</v>
      </c>
      <c r="D173" s="806" t="s">
        <v>2221</v>
      </c>
      <c r="E173" s="806" t="s">
        <v>2153</v>
      </c>
      <c r="F173" s="807">
        <v>0</v>
      </c>
      <c r="G173" s="808">
        <v>0</v>
      </c>
      <c r="H173" s="808">
        <v>0</v>
      </c>
      <c r="I173" s="808">
        <v>0</v>
      </c>
      <c r="J173" s="808">
        <v>0</v>
      </c>
      <c r="K173" s="808">
        <v>0</v>
      </c>
      <c r="L173" s="808">
        <v>0</v>
      </c>
      <c r="M173" s="808">
        <v>0</v>
      </c>
      <c r="N173" s="808">
        <v>0</v>
      </c>
      <c r="O173" s="808">
        <v>0</v>
      </c>
      <c r="P173" s="808">
        <v>0</v>
      </c>
      <c r="Q173" s="808">
        <v>0</v>
      </c>
      <c r="R173" s="808">
        <v>0</v>
      </c>
      <c r="S173" s="809">
        <f t="shared" si="12"/>
        <v>0</v>
      </c>
      <c r="T173" s="810">
        <f t="shared" ca="1" si="13"/>
        <v>-117</v>
      </c>
      <c r="U173" s="811">
        <v>44265</v>
      </c>
      <c r="V173" s="812" t="s">
        <v>2222</v>
      </c>
      <c r="W173" s="813"/>
      <c r="X173" s="814"/>
      <c r="Y173" s="814"/>
      <c r="Z173" s="814"/>
      <c r="AA173" s="814"/>
      <c r="AB173" s="814"/>
      <c r="AC173" s="815"/>
      <c r="AD173" s="816">
        <v>43354</v>
      </c>
      <c r="AE173" s="817">
        <f t="shared" ca="1" si="14"/>
        <v>-1164</v>
      </c>
      <c r="AF173" s="805" t="s">
        <v>1988</v>
      </c>
    </row>
    <row r="174" spans="1:32" s="820" customFormat="1" ht="89.25" x14ac:dyDescent="0.2">
      <c r="A174" s="821" t="s">
        <v>2150</v>
      </c>
      <c r="B174" s="805"/>
      <c r="C174" s="805" t="s">
        <v>2151</v>
      </c>
      <c r="D174" s="806" t="s">
        <v>2223</v>
      </c>
      <c r="E174" s="806" t="s">
        <v>2153</v>
      </c>
      <c r="F174" s="807">
        <v>0</v>
      </c>
      <c r="G174" s="808">
        <v>0</v>
      </c>
      <c r="H174" s="808">
        <v>0</v>
      </c>
      <c r="I174" s="808">
        <v>0</v>
      </c>
      <c r="J174" s="808">
        <v>0</v>
      </c>
      <c r="K174" s="808">
        <v>0</v>
      </c>
      <c r="L174" s="808">
        <v>0</v>
      </c>
      <c r="M174" s="808">
        <v>0</v>
      </c>
      <c r="N174" s="808">
        <v>0</v>
      </c>
      <c r="O174" s="808">
        <v>0</v>
      </c>
      <c r="P174" s="808">
        <v>0</v>
      </c>
      <c r="Q174" s="808">
        <v>0</v>
      </c>
      <c r="R174" s="808">
        <v>0</v>
      </c>
      <c r="S174" s="809">
        <f t="shared" ref="S174:S205" si="15">SUM(G174:R174)</f>
        <v>0</v>
      </c>
      <c r="T174" s="810">
        <f t="shared" ca="1" si="13"/>
        <v>-103</v>
      </c>
      <c r="U174" s="811">
        <v>44279</v>
      </c>
      <c r="V174" s="812" t="s">
        <v>2224</v>
      </c>
      <c r="W174" s="813"/>
      <c r="X174" s="814"/>
      <c r="Y174" s="814"/>
      <c r="Z174" s="814"/>
      <c r="AA174" s="814"/>
      <c r="AB174" s="814"/>
      <c r="AC174" s="815"/>
      <c r="AD174" s="816">
        <v>43368</v>
      </c>
      <c r="AE174" s="817">
        <f t="shared" ca="1" si="14"/>
        <v>-1178</v>
      </c>
      <c r="AF174" s="805" t="s">
        <v>1988</v>
      </c>
    </row>
    <row r="175" spans="1:32" s="820" customFormat="1" ht="25.5" x14ac:dyDescent="0.2">
      <c r="A175" s="821" t="s">
        <v>1756</v>
      </c>
      <c r="B175" s="805"/>
      <c r="C175" s="805"/>
      <c r="D175" s="806" t="s">
        <v>2225</v>
      </c>
      <c r="E175" s="806" t="s">
        <v>1798</v>
      </c>
      <c r="F175" s="807" t="s">
        <v>314</v>
      </c>
      <c r="G175" s="808">
        <v>0</v>
      </c>
      <c r="H175" s="808">
        <v>0</v>
      </c>
      <c r="I175" s="808">
        <v>0</v>
      </c>
      <c r="J175" s="808">
        <v>0</v>
      </c>
      <c r="K175" s="808">
        <v>0</v>
      </c>
      <c r="L175" s="808">
        <v>0</v>
      </c>
      <c r="M175" s="808">
        <v>0</v>
      </c>
      <c r="N175" s="808">
        <v>0</v>
      </c>
      <c r="O175" s="808">
        <v>0</v>
      </c>
      <c r="P175" s="808">
        <v>0</v>
      </c>
      <c r="Q175" s="808">
        <v>0</v>
      </c>
      <c r="R175" s="808">
        <v>0</v>
      </c>
      <c r="S175" s="809">
        <f t="shared" si="15"/>
        <v>0</v>
      </c>
      <c r="T175" s="810">
        <f t="shared" ca="1" si="13"/>
        <v>-637</v>
      </c>
      <c r="U175" s="811">
        <v>43745</v>
      </c>
      <c r="V175" s="812" t="s">
        <v>2226</v>
      </c>
      <c r="W175" s="813"/>
      <c r="X175" s="814"/>
      <c r="Y175" s="814"/>
      <c r="Z175" s="814"/>
      <c r="AA175" s="814"/>
      <c r="AB175" s="814"/>
      <c r="AC175" s="815"/>
      <c r="AD175" s="816">
        <v>43381</v>
      </c>
      <c r="AE175" s="817">
        <f t="shared" ref="AE175:AE205" ca="1" si="16">TODAY()-DATE(YEAR(AD175)+6,MONTH(AD175),DAY(AD175))</f>
        <v>-1191</v>
      </c>
      <c r="AF175" s="805" t="s">
        <v>1988</v>
      </c>
    </row>
    <row r="176" spans="1:32" s="820" customFormat="1" ht="89.25" x14ac:dyDescent="0.2">
      <c r="A176" s="821" t="s">
        <v>2150</v>
      </c>
      <c r="B176" s="805"/>
      <c r="C176" s="805" t="s">
        <v>2151</v>
      </c>
      <c r="D176" s="806" t="s">
        <v>2230</v>
      </c>
      <c r="E176" s="806" t="s">
        <v>2153</v>
      </c>
      <c r="F176" s="807">
        <v>0</v>
      </c>
      <c r="G176" s="808">
        <v>0</v>
      </c>
      <c r="H176" s="808">
        <v>0</v>
      </c>
      <c r="I176" s="808">
        <v>0</v>
      </c>
      <c r="J176" s="808">
        <v>0</v>
      </c>
      <c r="K176" s="808">
        <v>0</v>
      </c>
      <c r="L176" s="808">
        <v>0</v>
      </c>
      <c r="M176" s="808">
        <v>0</v>
      </c>
      <c r="N176" s="808">
        <v>0</v>
      </c>
      <c r="O176" s="808">
        <v>0</v>
      </c>
      <c r="P176" s="808">
        <v>0</v>
      </c>
      <c r="Q176" s="808">
        <v>0</v>
      </c>
      <c r="R176" s="808">
        <v>0</v>
      </c>
      <c r="S176" s="809">
        <f t="shared" si="15"/>
        <v>0</v>
      </c>
      <c r="T176" s="830">
        <f t="shared" ca="1" si="13"/>
        <v>-103</v>
      </c>
      <c r="U176" s="811">
        <v>44279</v>
      </c>
      <c r="V176" s="831" t="s">
        <v>2224</v>
      </c>
      <c r="W176" s="813"/>
      <c r="X176" s="814"/>
      <c r="Y176" s="814"/>
      <c r="Z176" s="814"/>
      <c r="AA176" s="814"/>
      <c r="AB176" s="814"/>
      <c r="AC176" s="815"/>
      <c r="AD176" s="816">
        <v>43368</v>
      </c>
      <c r="AE176" s="832">
        <f t="shared" ca="1" si="16"/>
        <v>-1178</v>
      </c>
      <c r="AF176" s="805" t="s">
        <v>1988</v>
      </c>
    </row>
    <row r="177" spans="1:32" s="820" customFormat="1" ht="89.25" x14ac:dyDescent="0.2">
      <c r="A177" s="821" t="s">
        <v>2150</v>
      </c>
      <c r="B177" s="805"/>
      <c r="C177" s="805" t="s">
        <v>2151</v>
      </c>
      <c r="D177" s="806" t="s">
        <v>2233</v>
      </c>
      <c r="E177" s="806" t="s">
        <v>2153</v>
      </c>
      <c r="F177" s="807">
        <v>0</v>
      </c>
      <c r="G177" s="808">
        <v>0</v>
      </c>
      <c r="H177" s="808">
        <v>0</v>
      </c>
      <c r="I177" s="808">
        <v>0</v>
      </c>
      <c r="J177" s="808">
        <v>0</v>
      </c>
      <c r="K177" s="808">
        <v>0</v>
      </c>
      <c r="L177" s="808">
        <v>0</v>
      </c>
      <c r="M177" s="808">
        <v>0</v>
      </c>
      <c r="N177" s="808">
        <v>0</v>
      </c>
      <c r="O177" s="808">
        <v>0</v>
      </c>
      <c r="P177" s="808">
        <v>0</v>
      </c>
      <c r="Q177" s="808">
        <v>0</v>
      </c>
      <c r="R177" s="808">
        <v>0</v>
      </c>
      <c r="S177" s="809">
        <f t="shared" si="15"/>
        <v>0</v>
      </c>
      <c r="T177" s="810">
        <f t="shared" ca="1" si="13"/>
        <v>-103</v>
      </c>
      <c r="U177" s="811">
        <v>44279</v>
      </c>
      <c r="V177" s="812" t="s">
        <v>2224</v>
      </c>
      <c r="W177" s="813"/>
      <c r="X177" s="814"/>
      <c r="Y177" s="814"/>
      <c r="Z177" s="814"/>
      <c r="AA177" s="814"/>
      <c r="AB177" s="814"/>
      <c r="AC177" s="815"/>
      <c r="AD177" s="816">
        <v>43368</v>
      </c>
      <c r="AE177" s="817">
        <f t="shared" ca="1" si="16"/>
        <v>-1178</v>
      </c>
      <c r="AF177" s="805" t="s">
        <v>1988</v>
      </c>
    </row>
    <row r="178" spans="1:32" s="820" customFormat="1" ht="89.25" x14ac:dyDescent="0.2">
      <c r="A178" s="821" t="s">
        <v>2150</v>
      </c>
      <c r="B178" s="805"/>
      <c r="C178" s="805" t="s">
        <v>2151</v>
      </c>
      <c r="D178" s="806" t="s">
        <v>2234</v>
      </c>
      <c r="E178" s="806" t="s">
        <v>2153</v>
      </c>
      <c r="F178" s="807">
        <v>0</v>
      </c>
      <c r="G178" s="808">
        <v>0</v>
      </c>
      <c r="H178" s="808">
        <v>0</v>
      </c>
      <c r="I178" s="808">
        <v>0</v>
      </c>
      <c r="J178" s="808">
        <v>0</v>
      </c>
      <c r="K178" s="808">
        <v>0</v>
      </c>
      <c r="L178" s="808">
        <v>0</v>
      </c>
      <c r="M178" s="808">
        <v>0</v>
      </c>
      <c r="N178" s="808">
        <v>0</v>
      </c>
      <c r="O178" s="808">
        <v>0</v>
      </c>
      <c r="P178" s="808">
        <v>0</v>
      </c>
      <c r="Q178" s="808">
        <v>0</v>
      </c>
      <c r="R178" s="808">
        <v>0</v>
      </c>
      <c r="S178" s="809">
        <f t="shared" si="15"/>
        <v>0</v>
      </c>
      <c r="T178" s="810">
        <f t="shared" ca="1" si="13"/>
        <v>-103</v>
      </c>
      <c r="U178" s="811">
        <v>44279</v>
      </c>
      <c r="V178" s="812" t="s">
        <v>2224</v>
      </c>
      <c r="W178" s="813"/>
      <c r="X178" s="814"/>
      <c r="Y178" s="814"/>
      <c r="Z178" s="814"/>
      <c r="AA178" s="814"/>
      <c r="AB178" s="814"/>
      <c r="AC178" s="815"/>
      <c r="AD178" s="816">
        <v>43368</v>
      </c>
      <c r="AE178" s="817">
        <f t="shared" ca="1" si="16"/>
        <v>-1178</v>
      </c>
      <c r="AF178" s="805" t="s">
        <v>1988</v>
      </c>
    </row>
    <row r="179" spans="1:32" s="820" customFormat="1" ht="38.25" x14ac:dyDescent="0.2">
      <c r="A179" s="821" t="s">
        <v>2236</v>
      </c>
      <c r="B179" s="805"/>
      <c r="C179" s="805" t="s">
        <v>2417</v>
      </c>
      <c r="D179" s="806" t="s">
        <v>2237</v>
      </c>
      <c r="E179" s="806" t="s">
        <v>2238</v>
      </c>
      <c r="F179" s="807">
        <v>12732</v>
      </c>
      <c r="G179" s="808">
        <v>0</v>
      </c>
      <c r="H179" s="808">
        <v>0</v>
      </c>
      <c r="I179" s="808">
        <v>0</v>
      </c>
      <c r="J179" s="808">
        <v>0</v>
      </c>
      <c r="K179" s="808">
        <v>0</v>
      </c>
      <c r="L179" s="808">
        <v>0</v>
      </c>
      <c r="M179" s="808">
        <v>656.48</v>
      </c>
      <c r="N179" s="808">
        <v>694</v>
      </c>
      <c r="O179" s="808">
        <v>732</v>
      </c>
      <c r="P179" s="808">
        <v>698</v>
      </c>
      <c r="Q179" s="808">
        <v>646</v>
      </c>
      <c r="R179" s="808">
        <v>620</v>
      </c>
      <c r="S179" s="809">
        <f t="shared" si="15"/>
        <v>4046.48</v>
      </c>
      <c r="T179" s="810">
        <f t="shared" ca="1" si="13"/>
        <v>-728</v>
      </c>
      <c r="U179" s="811">
        <v>43654</v>
      </c>
      <c r="V179" s="812" t="s">
        <v>2239</v>
      </c>
      <c r="W179" s="813"/>
      <c r="X179" s="814"/>
      <c r="Y179" s="814"/>
      <c r="Z179" s="814"/>
      <c r="AA179" s="814"/>
      <c r="AB179" s="814"/>
      <c r="AC179" s="815"/>
      <c r="AD179" s="816">
        <v>43290</v>
      </c>
      <c r="AE179" s="817">
        <f t="shared" ca="1" si="16"/>
        <v>-1100</v>
      </c>
      <c r="AF179" s="805" t="s">
        <v>96</v>
      </c>
    </row>
    <row r="180" spans="1:32" s="820" customFormat="1" ht="38.25" x14ac:dyDescent="0.2">
      <c r="A180" s="821" t="s">
        <v>2240</v>
      </c>
      <c r="B180" s="805"/>
      <c r="C180" s="805" t="s">
        <v>2418</v>
      </c>
      <c r="D180" s="806" t="s">
        <v>2241</v>
      </c>
      <c r="E180" s="806" t="s">
        <v>2242</v>
      </c>
      <c r="F180" s="807">
        <v>0</v>
      </c>
      <c r="G180" s="808">
        <v>0</v>
      </c>
      <c r="H180" s="808">
        <v>0</v>
      </c>
      <c r="I180" s="808">
        <v>0</v>
      </c>
      <c r="J180" s="808">
        <v>0</v>
      </c>
      <c r="K180" s="808">
        <v>0</v>
      </c>
      <c r="L180" s="808">
        <v>0</v>
      </c>
      <c r="M180" s="808">
        <v>0</v>
      </c>
      <c r="N180" s="808">
        <v>0</v>
      </c>
      <c r="O180" s="808">
        <v>0</v>
      </c>
      <c r="P180" s="808">
        <v>0</v>
      </c>
      <c r="Q180" s="808">
        <v>0</v>
      </c>
      <c r="R180" s="808">
        <v>0</v>
      </c>
      <c r="S180" s="809">
        <f t="shared" si="15"/>
        <v>0</v>
      </c>
      <c r="T180" s="810">
        <f t="shared" ca="1" si="13"/>
        <v>-823</v>
      </c>
      <c r="U180" s="811">
        <v>43559</v>
      </c>
      <c r="V180" s="812" t="s">
        <v>2243</v>
      </c>
      <c r="W180" s="813"/>
      <c r="X180" s="814"/>
      <c r="Y180" s="814"/>
      <c r="Z180" s="814"/>
      <c r="AA180" s="814"/>
      <c r="AB180" s="814"/>
      <c r="AC180" s="815">
        <v>43509</v>
      </c>
      <c r="AD180" s="816">
        <v>43195</v>
      </c>
      <c r="AE180" s="817">
        <f t="shared" ca="1" si="16"/>
        <v>-1005</v>
      </c>
      <c r="AF180" s="805" t="s">
        <v>1295</v>
      </c>
    </row>
    <row r="181" spans="1:32" s="820" customFormat="1" ht="38.25" x14ac:dyDescent="0.2">
      <c r="A181" s="821" t="s">
        <v>2240</v>
      </c>
      <c r="B181" s="805"/>
      <c r="C181" s="805" t="s">
        <v>2419</v>
      </c>
      <c r="D181" s="806" t="s">
        <v>2244</v>
      </c>
      <c r="E181" s="806" t="s">
        <v>2242</v>
      </c>
      <c r="F181" s="807">
        <v>0</v>
      </c>
      <c r="G181" s="808">
        <v>0</v>
      </c>
      <c r="H181" s="808">
        <v>0</v>
      </c>
      <c r="I181" s="808">
        <v>0</v>
      </c>
      <c r="J181" s="808">
        <v>0</v>
      </c>
      <c r="K181" s="808">
        <v>0</v>
      </c>
      <c r="L181" s="808">
        <v>0</v>
      </c>
      <c r="M181" s="808">
        <v>0</v>
      </c>
      <c r="N181" s="808">
        <v>0</v>
      </c>
      <c r="O181" s="808">
        <v>0</v>
      </c>
      <c r="P181" s="808">
        <v>0</v>
      </c>
      <c r="Q181" s="808">
        <v>0</v>
      </c>
      <c r="R181" s="808">
        <v>0</v>
      </c>
      <c r="S181" s="809">
        <f t="shared" si="15"/>
        <v>0</v>
      </c>
      <c r="T181" s="810">
        <f t="shared" ca="1" si="13"/>
        <v>-823</v>
      </c>
      <c r="U181" s="811">
        <v>43559</v>
      </c>
      <c r="V181" s="812" t="s">
        <v>2243</v>
      </c>
      <c r="W181" s="813"/>
      <c r="X181" s="814"/>
      <c r="Y181" s="814"/>
      <c r="Z181" s="814"/>
      <c r="AA181" s="814"/>
      <c r="AB181" s="814"/>
      <c r="AC181" s="815">
        <v>43509</v>
      </c>
      <c r="AD181" s="816">
        <v>43195</v>
      </c>
      <c r="AE181" s="817">
        <f t="shared" ca="1" si="16"/>
        <v>-1005</v>
      </c>
      <c r="AF181" s="805" t="s">
        <v>1295</v>
      </c>
    </row>
    <row r="182" spans="1:32" s="820" customFormat="1" ht="38.25" x14ac:dyDescent="0.2">
      <c r="A182" s="821" t="s">
        <v>2240</v>
      </c>
      <c r="B182" s="805"/>
      <c r="C182" s="805" t="s">
        <v>2420</v>
      </c>
      <c r="D182" s="806" t="s">
        <v>2245</v>
      </c>
      <c r="E182" s="806" t="s">
        <v>2242</v>
      </c>
      <c r="F182" s="807">
        <v>0</v>
      </c>
      <c r="G182" s="808">
        <v>2157.75</v>
      </c>
      <c r="H182" s="808">
        <v>3581.58</v>
      </c>
      <c r="I182" s="808">
        <v>9124.02</v>
      </c>
      <c r="J182" s="808">
        <v>1112.55</v>
      </c>
      <c r="K182" s="808">
        <v>0</v>
      </c>
      <c r="L182" s="808">
        <v>161.63</v>
      </c>
      <c r="M182" s="808">
        <v>0</v>
      </c>
      <c r="N182" s="808">
        <v>5210.97</v>
      </c>
      <c r="O182" s="808">
        <v>0</v>
      </c>
      <c r="P182" s="808">
        <v>11715.35</v>
      </c>
      <c r="Q182" s="808">
        <v>2710.38</v>
      </c>
      <c r="R182" s="808">
        <v>3872.19</v>
      </c>
      <c r="S182" s="809">
        <f t="shared" si="15"/>
        <v>39646.42</v>
      </c>
      <c r="T182" s="810">
        <f t="shared" ca="1" si="13"/>
        <v>-823</v>
      </c>
      <c r="U182" s="811">
        <v>43559</v>
      </c>
      <c r="V182" s="812" t="s">
        <v>2243</v>
      </c>
      <c r="W182" s="813"/>
      <c r="X182" s="814"/>
      <c r="Y182" s="814"/>
      <c r="Z182" s="814"/>
      <c r="AA182" s="814"/>
      <c r="AB182" s="814"/>
      <c r="AC182" s="815">
        <v>43509</v>
      </c>
      <c r="AD182" s="816">
        <v>43195</v>
      </c>
      <c r="AE182" s="817">
        <f t="shared" ca="1" si="16"/>
        <v>-1005</v>
      </c>
      <c r="AF182" s="805" t="s">
        <v>1295</v>
      </c>
    </row>
    <row r="183" spans="1:32" s="820" customFormat="1" ht="38.25" x14ac:dyDescent="0.2">
      <c r="A183" s="821" t="s">
        <v>2240</v>
      </c>
      <c r="B183" s="805"/>
      <c r="C183" s="805" t="s">
        <v>2421</v>
      </c>
      <c r="D183" s="806" t="s">
        <v>2246</v>
      </c>
      <c r="E183" s="806" t="s">
        <v>2242</v>
      </c>
      <c r="F183" s="807">
        <v>0</v>
      </c>
      <c r="G183" s="808">
        <v>0</v>
      </c>
      <c r="H183" s="808">
        <v>0</v>
      </c>
      <c r="I183" s="808">
        <v>0</v>
      </c>
      <c r="J183" s="808">
        <v>0</v>
      </c>
      <c r="K183" s="808">
        <v>0</v>
      </c>
      <c r="L183" s="808">
        <v>0</v>
      </c>
      <c r="M183" s="808">
        <v>0</v>
      </c>
      <c r="N183" s="808">
        <v>0</v>
      </c>
      <c r="O183" s="808">
        <v>0</v>
      </c>
      <c r="P183" s="808">
        <v>0</v>
      </c>
      <c r="Q183" s="808">
        <v>0</v>
      </c>
      <c r="R183" s="808">
        <v>0</v>
      </c>
      <c r="S183" s="809">
        <f t="shared" si="15"/>
        <v>0</v>
      </c>
      <c r="T183" s="810">
        <f t="shared" ca="1" si="13"/>
        <v>-823</v>
      </c>
      <c r="U183" s="811">
        <v>43559</v>
      </c>
      <c r="V183" s="812" t="s">
        <v>2243</v>
      </c>
      <c r="W183" s="813"/>
      <c r="X183" s="814"/>
      <c r="Y183" s="814"/>
      <c r="Z183" s="814"/>
      <c r="AA183" s="814"/>
      <c r="AB183" s="814"/>
      <c r="AC183" s="815">
        <v>43509</v>
      </c>
      <c r="AD183" s="816">
        <v>43195</v>
      </c>
      <c r="AE183" s="817">
        <f t="shared" ca="1" si="16"/>
        <v>-1005</v>
      </c>
      <c r="AF183" s="805" t="s">
        <v>1295</v>
      </c>
    </row>
    <row r="184" spans="1:32" s="820" customFormat="1" ht="38.25" x14ac:dyDescent="0.2">
      <c r="A184" s="821" t="s">
        <v>2240</v>
      </c>
      <c r="B184" s="805"/>
      <c r="C184" s="805" t="s">
        <v>2422</v>
      </c>
      <c r="D184" s="806" t="s">
        <v>2247</v>
      </c>
      <c r="E184" s="806" t="s">
        <v>2242</v>
      </c>
      <c r="F184" s="807">
        <v>0</v>
      </c>
      <c r="G184" s="808">
        <v>0</v>
      </c>
      <c r="H184" s="808">
        <v>0</v>
      </c>
      <c r="I184" s="808">
        <v>0</v>
      </c>
      <c r="J184" s="808">
        <v>0</v>
      </c>
      <c r="K184" s="808">
        <v>0</v>
      </c>
      <c r="L184" s="808">
        <v>0</v>
      </c>
      <c r="M184" s="808">
        <v>0</v>
      </c>
      <c r="N184" s="808">
        <v>4003.7</v>
      </c>
      <c r="O184" s="808">
        <v>0</v>
      </c>
      <c r="P184" s="808">
        <v>0</v>
      </c>
      <c r="Q184" s="808">
        <f>600</f>
        <v>600</v>
      </c>
      <c r="R184" s="808">
        <v>0</v>
      </c>
      <c r="S184" s="809">
        <f t="shared" si="15"/>
        <v>4603.7</v>
      </c>
      <c r="T184" s="810">
        <f t="shared" ca="1" si="13"/>
        <v>-823</v>
      </c>
      <c r="U184" s="811">
        <v>43559</v>
      </c>
      <c r="V184" s="812" t="s">
        <v>2243</v>
      </c>
      <c r="W184" s="813"/>
      <c r="X184" s="814"/>
      <c r="Y184" s="814"/>
      <c r="Z184" s="814"/>
      <c r="AA184" s="814"/>
      <c r="AB184" s="814"/>
      <c r="AC184" s="815">
        <v>43509</v>
      </c>
      <c r="AD184" s="816">
        <v>43195</v>
      </c>
      <c r="AE184" s="817">
        <f t="shared" ca="1" si="16"/>
        <v>-1005</v>
      </c>
      <c r="AF184" s="805" t="s">
        <v>1295</v>
      </c>
    </row>
    <row r="185" spans="1:32" s="820" customFormat="1" ht="38.25" x14ac:dyDescent="0.2">
      <c r="A185" s="821" t="s">
        <v>2240</v>
      </c>
      <c r="B185" s="805"/>
      <c r="C185" s="805" t="s">
        <v>2423</v>
      </c>
      <c r="D185" s="806" t="s">
        <v>2248</v>
      </c>
      <c r="E185" s="806" t="s">
        <v>2242</v>
      </c>
      <c r="F185" s="807">
        <v>0</v>
      </c>
      <c r="G185" s="808">
        <v>0</v>
      </c>
      <c r="H185" s="808">
        <v>0</v>
      </c>
      <c r="I185" s="808">
        <v>0</v>
      </c>
      <c r="J185" s="808">
        <v>0</v>
      </c>
      <c r="K185" s="808">
        <v>0</v>
      </c>
      <c r="L185" s="808">
        <v>0</v>
      </c>
      <c r="M185" s="808">
        <v>0</v>
      </c>
      <c r="N185" s="808">
        <v>0</v>
      </c>
      <c r="O185" s="808">
        <v>914.23</v>
      </c>
      <c r="P185" s="808">
        <v>0</v>
      </c>
      <c r="Q185" s="808">
        <v>0</v>
      </c>
      <c r="R185" s="808">
        <v>0</v>
      </c>
      <c r="S185" s="809">
        <f t="shared" si="15"/>
        <v>914.23</v>
      </c>
      <c r="T185" s="810">
        <f t="shared" ca="1" si="13"/>
        <v>-823</v>
      </c>
      <c r="U185" s="811">
        <v>43559</v>
      </c>
      <c r="V185" s="812" t="s">
        <v>2243</v>
      </c>
      <c r="W185" s="813"/>
      <c r="X185" s="814"/>
      <c r="Y185" s="814"/>
      <c r="Z185" s="814"/>
      <c r="AA185" s="814"/>
      <c r="AB185" s="814"/>
      <c r="AC185" s="815">
        <v>43509</v>
      </c>
      <c r="AD185" s="816">
        <v>43195</v>
      </c>
      <c r="AE185" s="817">
        <f t="shared" ca="1" si="16"/>
        <v>-1005</v>
      </c>
      <c r="AF185" s="805" t="s">
        <v>1295</v>
      </c>
    </row>
    <row r="186" spans="1:32" s="820" customFormat="1" ht="38.25" x14ac:dyDescent="0.2">
      <c r="A186" s="821" t="s">
        <v>2240</v>
      </c>
      <c r="B186" s="805"/>
      <c r="C186" s="805" t="s">
        <v>2424</v>
      </c>
      <c r="D186" s="806" t="s">
        <v>2249</v>
      </c>
      <c r="E186" s="806" t="s">
        <v>2242</v>
      </c>
      <c r="F186" s="807">
        <v>0</v>
      </c>
      <c r="G186" s="808">
        <v>0</v>
      </c>
      <c r="H186" s="808">
        <v>0</v>
      </c>
      <c r="I186" s="808">
        <v>0</v>
      </c>
      <c r="J186" s="808">
        <v>0</v>
      </c>
      <c r="K186" s="808">
        <v>0</v>
      </c>
      <c r="L186" s="808">
        <v>0</v>
      </c>
      <c r="M186" s="808">
        <v>0</v>
      </c>
      <c r="N186" s="808">
        <v>0</v>
      </c>
      <c r="O186" s="808">
        <v>0</v>
      </c>
      <c r="P186" s="808">
        <v>0</v>
      </c>
      <c r="Q186" s="808">
        <v>0</v>
      </c>
      <c r="R186" s="808">
        <v>0</v>
      </c>
      <c r="S186" s="809">
        <f t="shared" si="15"/>
        <v>0</v>
      </c>
      <c r="T186" s="810">
        <f t="shared" ca="1" si="13"/>
        <v>-823</v>
      </c>
      <c r="U186" s="811">
        <v>43559</v>
      </c>
      <c r="V186" s="812" t="s">
        <v>2243</v>
      </c>
      <c r="W186" s="813"/>
      <c r="X186" s="814"/>
      <c r="Y186" s="814"/>
      <c r="Z186" s="814"/>
      <c r="AA186" s="814"/>
      <c r="AB186" s="814"/>
      <c r="AC186" s="815">
        <v>43509</v>
      </c>
      <c r="AD186" s="816">
        <v>43195</v>
      </c>
      <c r="AE186" s="817">
        <f t="shared" ca="1" si="16"/>
        <v>-1005</v>
      </c>
      <c r="AF186" s="805" t="s">
        <v>1295</v>
      </c>
    </row>
    <row r="187" spans="1:32" s="820" customFormat="1" ht="51" x14ac:dyDescent="0.2">
      <c r="A187" s="821" t="s">
        <v>2240</v>
      </c>
      <c r="B187" s="805"/>
      <c r="C187" s="805" t="s">
        <v>2425</v>
      </c>
      <c r="D187" s="806" t="s">
        <v>2250</v>
      </c>
      <c r="E187" s="806" t="s">
        <v>2242</v>
      </c>
      <c r="F187" s="807">
        <v>0</v>
      </c>
      <c r="G187" s="808">
        <v>0</v>
      </c>
      <c r="H187" s="808">
        <v>0</v>
      </c>
      <c r="I187" s="808">
        <v>0</v>
      </c>
      <c r="J187" s="808">
        <v>0</v>
      </c>
      <c r="K187" s="808">
        <v>0</v>
      </c>
      <c r="L187" s="808">
        <v>0</v>
      </c>
      <c r="M187" s="808">
        <v>0</v>
      </c>
      <c r="N187" s="808">
        <v>0</v>
      </c>
      <c r="O187" s="808">
        <v>300</v>
      </c>
      <c r="P187" s="808">
        <v>0</v>
      </c>
      <c r="Q187" s="808">
        <v>0</v>
      </c>
      <c r="R187" s="808">
        <v>0</v>
      </c>
      <c r="S187" s="809">
        <f t="shared" si="15"/>
        <v>300</v>
      </c>
      <c r="T187" s="810">
        <f t="shared" ca="1" si="13"/>
        <v>-823</v>
      </c>
      <c r="U187" s="811">
        <v>43559</v>
      </c>
      <c r="V187" s="812" t="s">
        <v>2243</v>
      </c>
      <c r="W187" s="813"/>
      <c r="X187" s="814"/>
      <c r="Y187" s="814"/>
      <c r="Z187" s="814"/>
      <c r="AA187" s="814"/>
      <c r="AB187" s="814"/>
      <c r="AC187" s="815">
        <v>43509</v>
      </c>
      <c r="AD187" s="816">
        <v>43195</v>
      </c>
      <c r="AE187" s="817">
        <f t="shared" ca="1" si="16"/>
        <v>-1005</v>
      </c>
      <c r="AF187" s="805" t="s">
        <v>1295</v>
      </c>
    </row>
    <row r="188" spans="1:32" s="820" customFormat="1" ht="38.25" x14ac:dyDescent="0.2">
      <c r="A188" s="821" t="s">
        <v>2240</v>
      </c>
      <c r="B188" s="805"/>
      <c r="C188" s="805" t="s">
        <v>2426</v>
      </c>
      <c r="D188" s="806" t="s">
        <v>2251</v>
      </c>
      <c r="E188" s="806" t="s">
        <v>2242</v>
      </c>
      <c r="F188" s="807">
        <v>0</v>
      </c>
      <c r="G188" s="808">
        <v>0</v>
      </c>
      <c r="H188" s="808">
        <v>0</v>
      </c>
      <c r="I188" s="808">
        <v>0</v>
      </c>
      <c r="J188" s="808">
        <v>0</v>
      </c>
      <c r="K188" s="808">
        <v>0</v>
      </c>
      <c r="L188" s="808">
        <v>0</v>
      </c>
      <c r="M188" s="808">
        <v>0</v>
      </c>
      <c r="N188" s="808">
        <v>0</v>
      </c>
      <c r="O188" s="808">
        <v>0</v>
      </c>
      <c r="P188" s="808">
        <v>0</v>
      </c>
      <c r="Q188" s="808">
        <v>0</v>
      </c>
      <c r="R188" s="808">
        <v>0</v>
      </c>
      <c r="S188" s="809">
        <f t="shared" si="15"/>
        <v>0</v>
      </c>
      <c r="T188" s="810">
        <f t="shared" ca="1" si="13"/>
        <v>-823</v>
      </c>
      <c r="U188" s="811">
        <v>43559</v>
      </c>
      <c r="V188" s="812" t="s">
        <v>2243</v>
      </c>
      <c r="W188" s="813"/>
      <c r="X188" s="814"/>
      <c r="Y188" s="814"/>
      <c r="Z188" s="814"/>
      <c r="AA188" s="814"/>
      <c r="AB188" s="814"/>
      <c r="AC188" s="815">
        <v>43509</v>
      </c>
      <c r="AD188" s="816">
        <v>43195</v>
      </c>
      <c r="AE188" s="817">
        <f t="shared" ca="1" si="16"/>
        <v>-1005</v>
      </c>
      <c r="AF188" s="805" t="s">
        <v>1295</v>
      </c>
    </row>
    <row r="189" spans="1:32" s="820" customFormat="1" ht="38.25" x14ac:dyDescent="0.2">
      <c r="A189" s="821" t="s">
        <v>2240</v>
      </c>
      <c r="B189" s="805"/>
      <c r="C189" s="805" t="s">
        <v>2427</v>
      </c>
      <c r="D189" s="806" t="s">
        <v>2252</v>
      </c>
      <c r="E189" s="806" t="s">
        <v>2242</v>
      </c>
      <c r="F189" s="807">
        <v>0</v>
      </c>
      <c r="G189" s="808">
        <v>0</v>
      </c>
      <c r="H189" s="808">
        <v>0</v>
      </c>
      <c r="I189" s="808">
        <v>0</v>
      </c>
      <c r="J189" s="808">
        <v>0</v>
      </c>
      <c r="K189" s="808">
        <v>0</v>
      </c>
      <c r="L189" s="808">
        <v>0</v>
      </c>
      <c r="M189" s="808">
        <v>0</v>
      </c>
      <c r="N189" s="808">
        <v>0</v>
      </c>
      <c r="O189" s="808">
        <v>0</v>
      </c>
      <c r="P189" s="808">
        <v>0</v>
      </c>
      <c r="Q189" s="808">
        <v>0</v>
      </c>
      <c r="R189" s="808">
        <v>0</v>
      </c>
      <c r="S189" s="809">
        <f t="shared" si="15"/>
        <v>0</v>
      </c>
      <c r="T189" s="810">
        <f t="shared" ca="1" si="13"/>
        <v>-823</v>
      </c>
      <c r="U189" s="811">
        <v>43559</v>
      </c>
      <c r="V189" s="812" t="s">
        <v>2243</v>
      </c>
      <c r="W189" s="813"/>
      <c r="X189" s="814"/>
      <c r="Y189" s="814"/>
      <c r="Z189" s="814"/>
      <c r="AA189" s="814"/>
      <c r="AB189" s="814"/>
      <c r="AC189" s="815">
        <v>43509</v>
      </c>
      <c r="AD189" s="816">
        <v>43195</v>
      </c>
      <c r="AE189" s="817">
        <f t="shared" ca="1" si="16"/>
        <v>-1005</v>
      </c>
      <c r="AF189" s="805" t="s">
        <v>1295</v>
      </c>
    </row>
    <row r="190" spans="1:32" s="820" customFormat="1" ht="38.25" x14ac:dyDescent="0.2">
      <c r="A190" s="821" t="s">
        <v>2240</v>
      </c>
      <c r="B190" s="805"/>
      <c r="C190" s="805" t="s">
        <v>2428</v>
      </c>
      <c r="D190" s="806" t="s">
        <v>2253</v>
      </c>
      <c r="E190" s="806" t="s">
        <v>2242</v>
      </c>
      <c r="F190" s="807">
        <v>0</v>
      </c>
      <c r="G190" s="808">
        <v>0</v>
      </c>
      <c r="H190" s="808">
        <v>0</v>
      </c>
      <c r="I190" s="808">
        <v>0</v>
      </c>
      <c r="J190" s="808">
        <v>0</v>
      </c>
      <c r="K190" s="808">
        <v>0</v>
      </c>
      <c r="L190" s="808">
        <v>0</v>
      </c>
      <c r="M190" s="808">
        <v>0</v>
      </c>
      <c r="N190" s="808">
        <v>0</v>
      </c>
      <c r="O190" s="808">
        <v>0</v>
      </c>
      <c r="P190" s="808">
        <v>0</v>
      </c>
      <c r="Q190" s="808">
        <v>0</v>
      </c>
      <c r="R190" s="808">
        <v>0</v>
      </c>
      <c r="S190" s="809">
        <f t="shared" si="15"/>
        <v>0</v>
      </c>
      <c r="T190" s="810">
        <f t="shared" ca="1" si="13"/>
        <v>-823</v>
      </c>
      <c r="U190" s="811">
        <v>43559</v>
      </c>
      <c r="V190" s="812" t="s">
        <v>2243</v>
      </c>
      <c r="W190" s="813"/>
      <c r="X190" s="814"/>
      <c r="Y190" s="814"/>
      <c r="Z190" s="814"/>
      <c r="AA190" s="814"/>
      <c r="AB190" s="814"/>
      <c r="AC190" s="815">
        <v>43509</v>
      </c>
      <c r="AD190" s="816">
        <v>43195</v>
      </c>
      <c r="AE190" s="817">
        <f t="shared" ca="1" si="16"/>
        <v>-1005</v>
      </c>
      <c r="AF190" s="805" t="s">
        <v>1295</v>
      </c>
    </row>
    <row r="191" spans="1:32" s="820" customFormat="1" ht="38.25" x14ac:dyDescent="0.2">
      <c r="A191" s="821" t="s">
        <v>2240</v>
      </c>
      <c r="B191" s="805"/>
      <c r="C191" s="805" t="s">
        <v>2429</v>
      </c>
      <c r="D191" s="806" t="s">
        <v>2254</v>
      </c>
      <c r="E191" s="806" t="s">
        <v>2242</v>
      </c>
      <c r="F191" s="807">
        <v>0</v>
      </c>
      <c r="G191" s="808">
        <v>280.37</v>
      </c>
      <c r="H191" s="808">
        <v>0</v>
      </c>
      <c r="I191" s="808">
        <f>604.5+525.54+1767.61+1943.72+2252.96+10000</f>
        <v>17094.330000000002</v>
      </c>
      <c r="J191" s="808">
        <v>480.15</v>
      </c>
      <c r="K191" s="808">
        <v>0</v>
      </c>
      <c r="L191" s="808">
        <v>0</v>
      </c>
      <c r="M191" s="808">
        <f>4384.44+249.31+7000+1075.47</f>
        <v>12709.22</v>
      </c>
      <c r="N191" s="808">
        <v>0</v>
      </c>
      <c r="O191" s="808">
        <v>0</v>
      </c>
      <c r="P191" s="808">
        <v>0</v>
      </c>
      <c r="Q191" s="808">
        <v>687.19</v>
      </c>
      <c r="R191" s="808">
        <v>0</v>
      </c>
      <c r="S191" s="809">
        <f t="shared" si="15"/>
        <v>31251.26</v>
      </c>
      <c r="T191" s="810">
        <f t="shared" ca="1" si="13"/>
        <v>-823</v>
      </c>
      <c r="U191" s="811">
        <v>43559</v>
      </c>
      <c r="V191" s="812" t="s">
        <v>2243</v>
      </c>
      <c r="W191" s="813"/>
      <c r="X191" s="814"/>
      <c r="Y191" s="814"/>
      <c r="Z191" s="814"/>
      <c r="AA191" s="814"/>
      <c r="AB191" s="814"/>
      <c r="AC191" s="815">
        <v>43509</v>
      </c>
      <c r="AD191" s="816">
        <v>43195</v>
      </c>
      <c r="AE191" s="817">
        <f t="shared" ca="1" si="16"/>
        <v>-1005</v>
      </c>
      <c r="AF191" s="805" t="s">
        <v>1295</v>
      </c>
    </row>
    <row r="192" spans="1:32" s="820" customFormat="1" ht="38.25" x14ac:dyDescent="0.2">
      <c r="A192" s="821" t="s">
        <v>2240</v>
      </c>
      <c r="B192" s="805"/>
      <c r="C192" s="805" t="s">
        <v>2430</v>
      </c>
      <c r="D192" s="806" t="s">
        <v>2255</v>
      </c>
      <c r="E192" s="806" t="s">
        <v>2242</v>
      </c>
      <c r="F192" s="807">
        <v>0</v>
      </c>
      <c r="G192" s="808">
        <v>887.32</v>
      </c>
      <c r="H192" s="808">
        <v>0</v>
      </c>
      <c r="I192" s="808">
        <v>0</v>
      </c>
      <c r="J192" s="808">
        <v>0</v>
      </c>
      <c r="K192" s="808">
        <v>0</v>
      </c>
      <c r="L192" s="808">
        <v>0</v>
      </c>
      <c r="M192" s="808">
        <v>0</v>
      </c>
      <c r="N192" s="808">
        <v>433.9</v>
      </c>
      <c r="O192" s="808">
        <v>0</v>
      </c>
      <c r="P192" s="808">
        <v>0</v>
      </c>
      <c r="Q192" s="808">
        <f>300+741.28</f>
        <v>1041.28</v>
      </c>
      <c r="R192" s="808">
        <v>600</v>
      </c>
      <c r="S192" s="809">
        <f t="shared" si="15"/>
        <v>2962.5</v>
      </c>
      <c r="T192" s="810">
        <f t="shared" ca="1" si="13"/>
        <v>-823</v>
      </c>
      <c r="U192" s="811">
        <v>43559</v>
      </c>
      <c r="V192" s="812" t="s">
        <v>2243</v>
      </c>
      <c r="W192" s="813"/>
      <c r="X192" s="814"/>
      <c r="Y192" s="814"/>
      <c r="Z192" s="814"/>
      <c r="AA192" s="814"/>
      <c r="AB192" s="814"/>
      <c r="AC192" s="815">
        <v>43509</v>
      </c>
      <c r="AD192" s="816">
        <v>43195</v>
      </c>
      <c r="AE192" s="817">
        <f t="shared" ca="1" si="16"/>
        <v>-1005</v>
      </c>
      <c r="AF192" s="805" t="s">
        <v>1295</v>
      </c>
    </row>
    <row r="193" spans="1:32" s="820" customFormat="1" ht="38.25" x14ac:dyDescent="0.2">
      <c r="A193" s="821" t="s">
        <v>2240</v>
      </c>
      <c r="B193" s="805"/>
      <c r="C193" s="805" t="s">
        <v>2431</v>
      </c>
      <c r="D193" s="806" t="s">
        <v>2256</v>
      </c>
      <c r="E193" s="806" t="s">
        <v>2242</v>
      </c>
      <c r="F193" s="807">
        <v>0</v>
      </c>
      <c r="G193" s="808">
        <v>0</v>
      </c>
      <c r="H193" s="808">
        <v>0</v>
      </c>
      <c r="I193" s="808">
        <v>0</v>
      </c>
      <c r="J193" s="808">
        <v>0</v>
      </c>
      <c r="K193" s="808">
        <v>0</v>
      </c>
      <c r="L193" s="808">
        <v>0</v>
      </c>
      <c r="M193" s="808">
        <v>0</v>
      </c>
      <c r="N193" s="808">
        <v>0</v>
      </c>
      <c r="O193" s="808">
        <v>0</v>
      </c>
      <c r="P193" s="808">
        <v>0</v>
      </c>
      <c r="Q193" s="808">
        <v>0</v>
      </c>
      <c r="R193" s="808">
        <v>0</v>
      </c>
      <c r="S193" s="809">
        <f t="shared" si="15"/>
        <v>0</v>
      </c>
      <c r="T193" s="810">
        <f t="shared" ca="1" si="13"/>
        <v>-823</v>
      </c>
      <c r="U193" s="811">
        <v>43559</v>
      </c>
      <c r="V193" s="812" t="s">
        <v>2243</v>
      </c>
      <c r="W193" s="813"/>
      <c r="X193" s="814"/>
      <c r="Y193" s="814"/>
      <c r="Z193" s="814"/>
      <c r="AA193" s="814"/>
      <c r="AB193" s="814"/>
      <c r="AC193" s="815">
        <v>43509</v>
      </c>
      <c r="AD193" s="816">
        <v>43195</v>
      </c>
      <c r="AE193" s="817">
        <f t="shared" ca="1" si="16"/>
        <v>-1005</v>
      </c>
      <c r="AF193" s="805" t="s">
        <v>1295</v>
      </c>
    </row>
    <row r="194" spans="1:32" s="820" customFormat="1" ht="38.25" x14ac:dyDescent="0.2">
      <c r="A194" s="821" t="s">
        <v>2240</v>
      </c>
      <c r="B194" s="805"/>
      <c r="C194" s="805" t="s">
        <v>2432</v>
      </c>
      <c r="D194" s="806" t="s">
        <v>2257</v>
      </c>
      <c r="E194" s="806" t="s">
        <v>2242</v>
      </c>
      <c r="F194" s="807">
        <v>0</v>
      </c>
      <c r="G194" s="808">
        <v>0</v>
      </c>
      <c r="H194" s="808">
        <v>0</v>
      </c>
      <c r="I194" s="808">
        <v>0</v>
      </c>
      <c r="J194" s="808">
        <v>0</v>
      </c>
      <c r="K194" s="808">
        <v>0</v>
      </c>
      <c r="L194" s="808">
        <v>0</v>
      </c>
      <c r="M194" s="808">
        <v>0</v>
      </c>
      <c r="N194" s="808">
        <v>0</v>
      </c>
      <c r="O194" s="808">
        <v>0</v>
      </c>
      <c r="P194" s="808">
        <v>0</v>
      </c>
      <c r="Q194" s="808">
        <v>0</v>
      </c>
      <c r="R194" s="808">
        <v>300</v>
      </c>
      <c r="S194" s="809">
        <f t="shared" si="15"/>
        <v>300</v>
      </c>
      <c r="T194" s="810">
        <f t="shared" ca="1" si="13"/>
        <v>-823</v>
      </c>
      <c r="U194" s="811">
        <v>43559</v>
      </c>
      <c r="V194" s="812" t="s">
        <v>2243</v>
      </c>
      <c r="W194" s="813"/>
      <c r="X194" s="814"/>
      <c r="Y194" s="814"/>
      <c r="Z194" s="814"/>
      <c r="AA194" s="814"/>
      <c r="AB194" s="814"/>
      <c r="AC194" s="815">
        <v>43509</v>
      </c>
      <c r="AD194" s="816">
        <v>43195</v>
      </c>
      <c r="AE194" s="817">
        <f t="shared" ca="1" si="16"/>
        <v>-1005</v>
      </c>
      <c r="AF194" s="805" t="s">
        <v>1295</v>
      </c>
    </row>
    <row r="195" spans="1:32" s="820" customFormat="1" ht="38.25" x14ac:dyDescent="0.2">
      <c r="A195" s="821" t="s">
        <v>2240</v>
      </c>
      <c r="B195" s="805"/>
      <c r="C195" s="805" t="s">
        <v>2433</v>
      </c>
      <c r="D195" s="806" t="s">
        <v>2258</v>
      </c>
      <c r="E195" s="806" t="s">
        <v>2242</v>
      </c>
      <c r="F195" s="807">
        <v>0</v>
      </c>
      <c r="G195" s="808">
        <v>0</v>
      </c>
      <c r="H195" s="808">
        <v>0</v>
      </c>
      <c r="I195" s="808">
        <v>0</v>
      </c>
      <c r="J195" s="808">
        <v>8949.5499999999993</v>
      </c>
      <c r="K195" s="808">
        <v>0</v>
      </c>
      <c r="L195" s="808">
        <v>0</v>
      </c>
      <c r="M195" s="808">
        <v>1200</v>
      </c>
      <c r="N195" s="808">
        <v>0</v>
      </c>
      <c r="O195" s="808">
        <v>0</v>
      </c>
      <c r="P195" s="808">
        <v>0</v>
      </c>
      <c r="Q195" s="808">
        <v>881.76</v>
      </c>
      <c r="R195" s="808">
        <v>1561.28</v>
      </c>
      <c r="S195" s="809">
        <f t="shared" si="15"/>
        <v>12592.59</v>
      </c>
      <c r="T195" s="810">
        <f t="shared" ca="1" si="13"/>
        <v>-823</v>
      </c>
      <c r="U195" s="811">
        <v>43559</v>
      </c>
      <c r="V195" s="812" t="s">
        <v>2243</v>
      </c>
      <c r="W195" s="813"/>
      <c r="X195" s="814"/>
      <c r="Y195" s="814"/>
      <c r="Z195" s="814"/>
      <c r="AA195" s="814"/>
      <c r="AB195" s="814"/>
      <c r="AC195" s="815">
        <v>43509</v>
      </c>
      <c r="AD195" s="816">
        <v>43195</v>
      </c>
      <c r="AE195" s="817">
        <f t="shared" ca="1" si="16"/>
        <v>-1005</v>
      </c>
      <c r="AF195" s="805" t="s">
        <v>1295</v>
      </c>
    </row>
    <row r="196" spans="1:32" s="820" customFormat="1" ht="38.25" x14ac:dyDescent="0.2">
      <c r="A196" s="821" t="s">
        <v>2240</v>
      </c>
      <c r="B196" s="805"/>
      <c r="C196" s="805" t="s">
        <v>2434</v>
      </c>
      <c r="D196" s="806" t="s">
        <v>2259</v>
      </c>
      <c r="E196" s="806" t="s">
        <v>2242</v>
      </c>
      <c r="F196" s="807">
        <v>0</v>
      </c>
      <c r="G196" s="808">
        <v>0</v>
      </c>
      <c r="H196" s="808">
        <v>0</v>
      </c>
      <c r="I196" s="808">
        <v>0</v>
      </c>
      <c r="J196" s="808">
        <v>0</v>
      </c>
      <c r="K196" s="808">
        <v>0</v>
      </c>
      <c r="L196" s="808">
        <v>0</v>
      </c>
      <c r="M196" s="808">
        <v>0</v>
      </c>
      <c r="N196" s="808">
        <v>0</v>
      </c>
      <c r="O196" s="808">
        <v>294.24</v>
      </c>
      <c r="P196" s="808">
        <f>4292.81+10000</f>
        <v>14292.810000000001</v>
      </c>
      <c r="Q196" s="808">
        <f>2259.72+1309.58</f>
        <v>3569.2999999999997</v>
      </c>
      <c r="R196" s="808">
        <v>0</v>
      </c>
      <c r="S196" s="809">
        <f t="shared" si="15"/>
        <v>18156.350000000002</v>
      </c>
      <c r="T196" s="810">
        <f t="shared" ca="1" si="13"/>
        <v>-823</v>
      </c>
      <c r="U196" s="811">
        <v>43559</v>
      </c>
      <c r="V196" s="812" t="s">
        <v>2243</v>
      </c>
      <c r="W196" s="813"/>
      <c r="X196" s="814"/>
      <c r="Y196" s="814"/>
      <c r="Z196" s="814"/>
      <c r="AA196" s="814"/>
      <c r="AB196" s="814"/>
      <c r="AC196" s="815">
        <v>43509</v>
      </c>
      <c r="AD196" s="816">
        <v>43195</v>
      </c>
      <c r="AE196" s="817">
        <f t="shared" ca="1" si="16"/>
        <v>-1005</v>
      </c>
      <c r="AF196" s="805" t="s">
        <v>1295</v>
      </c>
    </row>
    <row r="197" spans="1:32" s="820" customFormat="1" ht="38.25" x14ac:dyDescent="0.2">
      <c r="A197" s="821" t="s">
        <v>2240</v>
      </c>
      <c r="B197" s="805"/>
      <c r="C197" s="805" t="s">
        <v>2435</v>
      </c>
      <c r="D197" s="806" t="s">
        <v>2260</v>
      </c>
      <c r="E197" s="806" t="s">
        <v>2242</v>
      </c>
      <c r="F197" s="807">
        <v>0</v>
      </c>
      <c r="G197" s="808">
        <v>10790.09</v>
      </c>
      <c r="H197" s="808">
        <v>915.02</v>
      </c>
      <c r="I197" s="808">
        <v>1993.17</v>
      </c>
      <c r="J197" s="808">
        <v>1933.02</v>
      </c>
      <c r="K197" s="808">
        <v>6712.76</v>
      </c>
      <c r="L197" s="808">
        <v>11834.94</v>
      </c>
      <c r="M197" s="808">
        <v>0</v>
      </c>
      <c r="N197" s="808">
        <v>2855.31</v>
      </c>
      <c r="O197" s="808">
        <v>1618.23</v>
      </c>
      <c r="P197" s="808">
        <v>8655.42</v>
      </c>
      <c r="Q197" s="808">
        <v>2007.95</v>
      </c>
      <c r="R197" s="808">
        <v>9313.8799999999992</v>
      </c>
      <c r="S197" s="809">
        <f t="shared" si="15"/>
        <v>58629.789999999994</v>
      </c>
      <c r="T197" s="810">
        <f t="shared" ca="1" si="13"/>
        <v>-823</v>
      </c>
      <c r="U197" s="811">
        <v>43559</v>
      </c>
      <c r="V197" s="812" t="s">
        <v>2243</v>
      </c>
      <c r="W197" s="813"/>
      <c r="X197" s="814"/>
      <c r="Y197" s="814"/>
      <c r="Z197" s="814"/>
      <c r="AA197" s="814"/>
      <c r="AB197" s="814"/>
      <c r="AC197" s="815">
        <v>43509</v>
      </c>
      <c r="AD197" s="816">
        <v>43195</v>
      </c>
      <c r="AE197" s="817">
        <f t="shared" ca="1" si="16"/>
        <v>-1005</v>
      </c>
      <c r="AF197" s="805" t="s">
        <v>1295</v>
      </c>
    </row>
    <row r="198" spans="1:32" s="820" customFormat="1" ht="38.25" x14ac:dyDescent="0.2">
      <c r="A198" s="821" t="s">
        <v>2240</v>
      </c>
      <c r="B198" s="805"/>
      <c r="C198" s="805" t="s">
        <v>2436</v>
      </c>
      <c r="D198" s="806" t="s">
        <v>2261</v>
      </c>
      <c r="E198" s="806" t="s">
        <v>2242</v>
      </c>
      <c r="F198" s="807">
        <v>0</v>
      </c>
      <c r="G198" s="808">
        <v>0</v>
      </c>
      <c r="H198" s="808">
        <v>0</v>
      </c>
      <c r="I198" s="808">
        <v>0</v>
      </c>
      <c r="J198" s="808">
        <v>0</v>
      </c>
      <c r="K198" s="808">
        <v>0</v>
      </c>
      <c r="L198" s="808">
        <v>0</v>
      </c>
      <c r="M198" s="808">
        <v>0</v>
      </c>
      <c r="N198" s="808">
        <v>0</v>
      </c>
      <c r="O198" s="808">
        <v>0</v>
      </c>
      <c r="P198" s="808">
        <v>0</v>
      </c>
      <c r="Q198" s="808">
        <v>0</v>
      </c>
      <c r="R198" s="808">
        <v>0</v>
      </c>
      <c r="S198" s="809">
        <f t="shared" si="15"/>
        <v>0</v>
      </c>
      <c r="T198" s="810">
        <f t="shared" ca="1" si="13"/>
        <v>-823</v>
      </c>
      <c r="U198" s="811">
        <v>43559</v>
      </c>
      <c r="V198" s="812" t="s">
        <v>2243</v>
      </c>
      <c r="W198" s="813"/>
      <c r="X198" s="814"/>
      <c r="Y198" s="814"/>
      <c r="Z198" s="814"/>
      <c r="AA198" s="814"/>
      <c r="AB198" s="814"/>
      <c r="AC198" s="815">
        <v>43509</v>
      </c>
      <c r="AD198" s="816">
        <v>43195</v>
      </c>
      <c r="AE198" s="817">
        <f t="shared" ca="1" si="16"/>
        <v>-1005</v>
      </c>
      <c r="AF198" s="805" t="s">
        <v>1295</v>
      </c>
    </row>
    <row r="199" spans="1:32" s="820" customFormat="1" ht="38.25" x14ac:dyDescent="0.2">
      <c r="A199" s="821" t="s">
        <v>2240</v>
      </c>
      <c r="B199" s="805"/>
      <c r="C199" s="805" t="s">
        <v>2437</v>
      </c>
      <c r="D199" s="806" t="s">
        <v>2262</v>
      </c>
      <c r="E199" s="806" t="s">
        <v>2242</v>
      </c>
      <c r="F199" s="807">
        <v>0</v>
      </c>
      <c r="G199" s="808">
        <v>0</v>
      </c>
      <c r="H199" s="808">
        <v>0</v>
      </c>
      <c r="I199" s="808">
        <v>0</v>
      </c>
      <c r="J199" s="808">
        <v>0</v>
      </c>
      <c r="K199" s="808">
        <v>0</v>
      </c>
      <c r="L199" s="808">
        <v>0</v>
      </c>
      <c r="M199" s="808">
        <v>0</v>
      </c>
      <c r="N199" s="808">
        <v>0</v>
      </c>
      <c r="O199" s="808">
        <f>300+300</f>
        <v>600</v>
      </c>
      <c r="P199" s="808">
        <v>0</v>
      </c>
      <c r="Q199" s="808">
        <v>1250</v>
      </c>
      <c r="R199" s="808">
        <v>0</v>
      </c>
      <c r="S199" s="809">
        <f t="shared" si="15"/>
        <v>1850</v>
      </c>
      <c r="T199" s="810">
        <f t="shared" ca="1" si="13"/>
        <v>-823</v>
      </c>
      <c r="U199" s="811">
        <v>43559</v>
      </c>
      <c r="V199" s="812" t="s">
        <v>2243</v>
      </c>
      <c r="W199" s="813"/>
      <c r="X199" s="814"/>
      <c r="Y199" s="814"/>
      <c r="Z199" s="814"/>
      <c r="AA199" s="814"/>
      <c r="AB199" s="814"/>
      <c r="AC199" s="815">
        <v>43509</v>
      </c>
      <c r="AD199" s="816">
        <v>43195</v>
      </c>
      <c r="AE199" s="817">
        <f t="shared" ca="1" si="16"/>
        <v>-1005</v>
      </c>
      <c r="AF199" s="805" t="s">
        <v>1295</v>
      </c>
    </row>
    <row r="200" spans="1:32" s="820" customFormat="1" ht="38.25" x14ac:dyDescent="0.2">
      <c r="A200" s="821" t="s">
        <v>2240</v>
      </c>
      <c r="B200" s="805"/>
      <c r="C200" s="805" t="s">
        <v>2438</v>
      </c>
      <c r="D200" s="806" t="s">
        <v>2264</v>
      </c>
      <c r="E200" s="806" t="s">
        <v>2242</v>
      </c>
      <c r="F200" s="807">
        <v>0</v>
      </c>
      <c r="G200" s="808">
        <v>0</v>
      </c>
      <c r="H200" s="808">
        <v>0</v>
      </c>
      <c r="I200" s="808">
        <v>0</v>
      </c>
      <c r="J200" s="808">
        <v>0</v>
      </c>
      <c r="K200" s="808">
        <v>0</v>
      </c>
      <c r="L200" s="808">
        <v>0</v>
      </c>
      <c r="M200" s="808">
        <v>0</v>
      </c>
      <c r="N200" s="808">
        <v>0</v>
      </c>
      <c r="O200" s="808">
        <v>0</v>
      </c>
      <c r="P200" s="808">
        <v>0</v>
      </c>
      <c r="Q200" s="808">
        <v>0</v>
      </c>
      <c r="R200" s="808">
        <v>0</v>
      </c>
      <c r="S200" s="809">
        <f t="shared" si="15"/>
        <v>0</v>
      </c>
      <c r="T200" s="810">
        <f t="shared" ca="1" si="13"/>
        <v>-823</v>
      </c>
      <c r="U200" s="811">
        <v>43559</v>
      </c>
      <c r="V200" s="812" t="s">
        <v>2243</v>
      </c>
      <c r="W200" s="813"/>
      <c r="X200" s="814"/>
      <c r="Y200" s="814"/>
      <c r="Z200" s="814"/>
      <c r="AA200" s="814"/>
      <c r="AB200" s="814"/>
      <c r="AC200" s="815">
        <v>43509</v>
      </c>
      <c r="AD200" s="816">
        <v>43195</v>
      </c>
      <c r="AE200" s="817">
        <f t="shared" ca="1" si="16"/>
        <v>-1005</v>
      </c>
      <c r="AF200" s="805" t="s">
        <v>1295</v>
      </c>
    </row>
    <row r="201" spans="1:32" s="820" customFormat="1" ht="38.25" x14ac:dyDescent="0.2">
      <c r="A201" s="821" t="s">
        <v>2240</v>
      </c>
      <c r="B201" s="805"/>
      <c r="C201" s="805" t="s">
        <v>2439</v>
      </c>
      <c r="D201" s="806" t="s">
        <v>2263</v>
      </c>
      <c r="E201" s="806" t="s">
        <v>2242</v>
      </c>
      <c r="F201" s="807">
        <v>0</v>
      </c>
      <c r="G201" s="808">
        <v>0</v>
      </c>
      <c r="H201" s="808">
        <v>0</v>
      </c>
      <c r="I201" s="808">
        <v>0</v>
      </c>
      <c r="J201" s="808">
        <v>0</v>
      </c>
      <c r="K201" s="808">
        <v>0</v>
      </c>
      <c r="L201" s="808">
        <v>0</v>
      </c>
      <c r="M201" s="808">
        <v>0</v>
      </c>
      <c r="N201" s="808">
        <v>0</v>
      </c>
      <c r="O201" s="808">
        <v>0</v>
      </c>
      <c r="P201" s="808">
        <v>600</v>
      </c>
      <c r="Q201" s="808">
        <v>0</v>
      </c>
      <c r="R201" s="808">
        <v>0</v>
      </c>
      <c r="S201" s="809">
        <f t="shared" si="15"/>
        <v>600</v>
      </c>
      <c r="T201" s="810">
        <f t="shared" ca="1" si="13"/>
        <v>-823</v>
      </c>
      <c r="U201" s="811">
        <v>43559</v>
      </c>
      <c r="V201" s="812" t="s">
        <v>2243</v>
      </c>
      <c r="W201" s="813"/>
      <c r="X201" s="814"/>
      <c r="Y201" s="814"/>
      <c r="Z201" s="814"/>
      <c r="AA201" s="814"/>
      <c r="AB201" s="814"/>
      <c r="AC201" s="815">
        <v>43509</v>
      </c>
      <c r="AD201" s="816">
        <v>43195</v>
      </c>
      <c r="AE201" s="817">
        <f t="shared" ca="1" si="16"/>
        <v>-1005</v>
      </c>
      <c r="AF201" s="805" t="s">
        <v>1295</v>
      </c>
    </row>
    <row r="202" spans="1:32" s="820" customFormat="1" ht="38.25" x14ac:dyDescent="0.2">
      <c r="A202" s="821" t="s">
        <v>1916</v>
      </c>
      <c r="B202" s="805"/>
      <c r="C202" s="805" t="s">
        <v>1917</v>
      </c>
      <c r="D202" s="806" t="s">
        <v>2265</v>
      </c>
      <c r="E202" s="806" t="s">
        <v>1919</v>
      </c>
      <c r="F202" s="807">
        <v>0</v>
      </c>
      <c r="G202" s="808">
        <v>0</v>
      </c>
      <c r="H202" s="808">
        <v>0</v>
      </c>
      <c r="I202" s="808">
        <v>0</v>
      </c>
      <c r="J202" s="808">
        <v>0</v>
      </c>
      <c r="K202" s="808">
        <v>0</v>
      </c>
      <c r="L202" s="808">
        <v>0</v>
      </c>
      <c r="M202" s="808">
        <v>0</v>
      </c>
      <c r="N202" s="808">
        <v>1788.94</v>
      </c>
      <c r="O202" s="808">
        <v>0</v>
      </c>
      <c r="P202" s="808">
        <v>0</v>
      </c>
      <c r="Q202" s="808">
        <v>0</v>
      </c>
      <c r="R202" s="808">
        <v>0</v>
      </c>
      <c r="S202" s="809">
        <f t="shared" si="15"/>
        <v>1788.94</v>
      </c>
      <c r="T202" s="810">
        <f t="shared" ca="1" si="13"/>
        <v>-782</v>
      </c>
      <c r="U202" s="811">
        <v>43600</v>
      </c>
      <c r="V202" s="812" t="s">
        <v>2266</v>
      </c>
      <c r="W202" s="813"/>
      <c r="X202" s="814"/>
      <c r="Y202" s="814"/>
      <c r="Z202" s="814"/>
      <c r="AA202" s="814"/>
      <c r="AB202" s="814"/>
      <c r="AC202" s="815"/>
      <c r="AD202" s="816">
        <v>43236</v>
      </c>
      <c r="AE202" s="817">
        <f t="shared" ca="1" si="16"/>
        <v>-1046</v>
      </c>
      <c r="AF202" s="805" t="s">
        <v>1988</v>
      </c>
    </row>
    <row r="203" spans="1:32" s="820" customFormat="1" ht="38.25" x14ac:dyDescent="0.2">
      <c r="A203" s="821" t="s">
        <v>1756</v>
      </c>
      <c r="B203" s="805"/>
      <c r="C203" s="805" t="s">
        <v>1757</v>
      </c>
      <c r="D203" s="806" t="s">
        <v>2271</v>
      </c>
      <c r="E203" s="806" t="s">
        <v>1798</v>
      </c>
      <c r="F203" s="807" t="s">
        <v>314</v>
      </c>
      <c r="G203" s="808">
        <v>0</v>
      </c>
      <c r="H203" s="808">
        <v>0</v>
      </c>
      <c r="I203" s="808">
        <v>0</v>
      </c>
      <c r="J203" s="808">
        <v>0</v>
      </c>
      <c r="K203" s="808">
        <v>0</v>
      </c>
      <c r="L203" s="808">
        <v>0</v>
      </c>
      <c r="M203" s="808">
        <v>0</v>
      </c>
      <c r="N203" s="808">
        <v>0</v>
      </c>
      <c r="O203" s="808">
        <v>0</v>
      </c>
      <c r="P203" s="808">
        <v>0</v>
      </c>
      <c r="Q203" s="808">
        <v>0</v>
      </c>
      <c r="R203" s="808">
        <v>0</v>
      </c>
      <c r="S203" s="809">
        <f t="shared" si="15"/>
        <v>0</v>
      </c>
      <c r="T203" s="810">
        <f t="shared" ca="1" si="13"/>
        <v>-803</v>
      </c>
      <c r="U203" s="811">
        <v>43579</v>
      </c>
      <c r="V203" s="812" t="s">
        <v>2272</v>
      </c>
      <c r="W203" s="813"/>
      <c r="X203" s="814"/>
      <c r="Y203" s="814"/>
      <c r="Z203" s="814"/>
      <c r="AA203" s="814"/>
      <c r="AB203" s="814"/>
      <c r="AC203" s="815"/>
      <c r="AD203" s="816">
        <v>43215</v>
      </c>
      <c r="AE203" s="817">
        <f t="shared" ca="1" si="16"/>
        <v>-1025</v>
      </c>
      <c r="AF203" s="805" t="s">
        <v>1763</v>
      </c>
    </row>
    <row r="204" spans="1:32" s="820" customFormat="1" ht="38.25" x14ac:dyDescent="0.2">
      <c r="A204" s="821" t="s">
        <v>1756</v>
      </c>
      <c r="B204" s="805"/>
      <c r="C204" s="805" t="s">
        <v>1757</v>
      </c>
      <c r="D204" s="806" t="s">
        <v>1852</v>
      </c>
      <c r="E204" s="806" t="s">
        <v>1798</v>
      </c>
      <c r="F204" s="807" t="s">
        <v>314</v>
      </c>
      <c r="G204" s="808">
        <v>0</v>
      </c>
      <c r="H204" s="808">
        <v>0</v>
      </c>
      <c r="I204" s="808">
        <v>0</v>
      </c>
      <c r="J204" s="808">
        <v>195.48</v>
      </c>
      <c r="K204" s="808">
        <v>0</v>
      </c>
      <c r="L204" s="808">
        <v>0</v>
      </c>
      <c r="M204" s="808">
        <v>0</v>
      </c>
      <c r="N204" s="808">
        <v>0</v>
      </c>
      <c r="O204" s="808">
        <v>0</v>
      </c>
      <c r="P204" s="808">
        <f>493.18+1198.1</f>
        <v>1691.28</v>
      </c>
      <c r="Q204" s="808">
        <v>0</v>
      </c>
      <c r="R204" s="808">
        <v>0</v>
      </c>
      <c r="S204" s="809">
        <f t="shared" si="15"/>
        <v>1886.76</v>
      </c>
      <c r="T204" s="810">
        <f t="shared" ref="T204:T247" ca="1" si="17">U204-$AE$3</f>
        <v>-921</v>
      </c>
      <c r="U204" s="811">
        <v>43461</v>
      </c>
      <c r="V204" s="812" t="s">
        <v>2277</v>
      </c>
      <c r="W204" s="813"/>
      <c r="X204" s="814"/>
      <c r="Y204" s="814"/>
      <c r="Z204" s="814"/>
      <c r="AA204" s="814"/>
      <c r="AB204" s="814"/>
      <c r="AC204" s="815">
        <v>43433</v>
      </c>
      <c r="AD204" s="816">
        <v>42366</v>
      </c>
      <c r="AE204" s="817">
        <f t="shared" ca="1" si="16"/>
        <v>-176</v>
      </c>
      <c r="AF204" s="805" t="s">
        <v>1763</v>
      </c>
    </row>
    <row r="205" spans="1:32" s="820" customFormat="1" ht="38.25" x14ac:dyDescent="0.2">
      <c r="A205" s="821" t="s">
        <v>2286</v>
      </c>
      <c r="B205" s="805"/>
      <c r="C205" s="805" t="s">
        <v>2289</v>
      </c>
      <c r="D205" s="806" t="s">
        <v>2287</v>
      </c>
      <c r="E205" s="806" t="s">
        <v>2288</v>
      </c>
      <c r="F205" s="807">
        <v>117888.24</v>
      </c>
      <c r="G205" s="808">
        <v>0</v>
      </c>
      <c r="H205" s="808">
        <v>0</v>
      </c>
      <c r="I205" s="808">
        <v>0</v>
      </c>
      <c r="J205" s="808">
        <v>0</v>
      </c>
      <c r="K205" s="808">
        <v>0</v>
      </c>
      <c r="L205" s="808">
        <v>0</v>
      </c>
      <c r="M205" s="808">
        <v>0</v>
      </c>
      <c r="N205" s="808">
        <v>0</v>
      </c>
      <c r="O205" s="808">
        <v>0</v>
      </c>
      <c r="P205" s="808">
        <v>0</v>
      </c>
      <c r="Q205" s="808">
        <v>0</v>
      </c>
      <c r="R205" s="808">
        <v>0</v>
      </c>
      <c r="S205" s="809">
        <f t="shared" si="15"/>
        <v>0</v>
      </c>
      <c r="T205" s="810">
        <f t="shared" ca="1" si="17"/>
        <v>-585</v>
      </c>
      <c r="U205" s="811">
        <v>43797</v>
      </c>
      <c r="V205" s="812" t="s">
        <v>2290</v>
      </c>
      <c r="W205" s="813"/>
      <c r="X205" s="814"/>
      <c r="Y205" s="814"/>
      <c r="Z205" s="814"/>
      <c r="AA205" s="814"/>
      <c r="AB205" s="814"/>
      <c r="AC205" s="815"/>
      <c r="AD205" s="816">
        <v>43436</v>
      </c>
      <c r="AE205" s="817">
        <f t="shared" ca="1" si="16"/>
        <v>-1246</v>
      </c>
      <c r="AF205" s="805" t="s">
        <v>2291</v>
      </c>
    </row>
    <row r="206" spans="1:32" s="820" customFormat="1" ht="38.25" x14ac:dyDescent="0.2">
      <c r="A206" s="821" t="s">
        <v>2292</v>
      </c>
      <c r="B206" s="805" t="s">
        <v>2393</v>
      </c>
      <c r="C206" s="805"/>
      <c r="D206" s="806" t="s">
        <v>2293</v>
      </c>
      <c r="E206" s="806" t="s">
        <v>2394</v>
      </c>
      <c r="F206" s="807">
        <v>13428.27</v>
      </c>
      <c r="G206" s="808">
        <v>0</v>
      </c>
      <c r="H206" s="808">
        <v>0</v>
      </c>
      <c r="I206" s="808">
        <v>0</v>
      </c>
      <c r="J206" s="808">
        <v>0</v>
      </c>
      <c r="K206" s="808">
        <v>0</v>
      </c>
      <c r="L206" s="808">
        <v>0</v>
      </c>
      <c r="M206" s="808">
        <v>0</v>
      </c>
      <c r="N206" s="808">
        <v>0</v>
      </c>
      <c r="O206" s="808">
        <v>0</v>
      </c>
      <c r="P206" s="808">
        <v>0</v>
      </c>
      <c r="Q206" s="808">
        <v>0</v>
      </c>
      <c r="R206" s="808">
        <v>0</v>
      </c>
      <c r="S206" s="809">
        <f t="shared" ref="S206:S214" si="18">SUM(G206:R206)</f>
        <v>0</v>
      </c>
      <c r="T206" s="830">
        <f t="shared" ca="1" si="17"/>
        <v>-917</v>
      </c>
      <c r="U206" s="811">
        <v>43465</v>
      </c>
      <c r="V206" s="831" t="s">
        <v>2395</v>
      </c>
      <c r="W206" s="813"/>
      <c r="X206" s="814"/>
      <c r="Y206" s="814"/>
      <c r="Z206" s="814"/>
      <c r="AA206" s="814"/>
      <c r="AB206" s="814"/>
      <c r="AC206" s="815"/>
      <c r="AD206" s="816">
        <v>43374</v>
      </c>
      <c r="AE206" s="832">
        <f t="shared" ref="AE206:AE224" ca="1" si="19">TODAY()-DATE(YEAR(AD206)+6,MONTH(AD206),DAY(AD206))</f>
        <v>-1184</v>
      </c>
      <c r="AF206" s="805" t="s">
        <v>2379</v>
      </c>
    </row>
    <row r="207" spans="1:32" s="820" customFormat="1" ht="51" x14ac:dyDescent="0.2">
      <c r="A207" s="821" t="s">
        <v>1976</v>
      </c>
      <c r="B207" s="805"/>
      <c r="C207" s="805" t="s">
        <v>1980</v>
      </c>
      <c r="D207" s="806" t="s">
        <v>1547</v>
      </c>
      <c r="E207" s="806" t="s">
        <v>2396</v>
      </c>
      <c r="F207" s="807">
        <v>89766.06</v>
      </c>
      <c r="G207" s="808">
        <v>0</v>
      </c>
      <c r="H207" s="808">
        <v>0</v>
      </c>
      <c r="I207" s="808">
        <v>0</v>
      </c>
      <c r="J207" s="808">
        <v>0</v>
      </c>
      <c r="K207" s="808">
        <v>0</v>
      </c>
      <c r="L207" s="808">
        <v>0</v>
      </c>
      <c r="M207" s="808">
        <v>0</v>
      </c>
      <c r="N207" s="808">
        <v>0</v>
      </c>
      <c r="O207" s="808">
        <v>0</v>
      </c>
      <c r="P207" s="808">
        <v>0</v>
      </c>
      <c r="Q207" s="808">
        <v>0</v>
      </c>
      <c r="R207" s="808">
        <v>0</v>
      </c>
      <c r="S207" s="809">
        <f t="shared" si="18"/>
        <v>0</v>
      </c>
      <c r="T207" s="810">
        <f t="shared" ca="1" si="17"/>
        <v>-773</v>
      </c>
      <c r="U207" s="811">
        <v>43609</v>
      </c>
      <c r="V207" s="812" t="s">
        <v>2397</v>
      </c>
      <c r="W207" s="813"/>
      <c r="X207" s="814"/>
      <c r="Y207" s="814"/>
      <c r="Z207" s="814"/>
      <c r="AA207" s="814"/>
      <c r="AB207" s="814"/>
      <c r="AC207" s="815"/>
      <c r="AD207" s="816">
        <v>42725</v>
      </c>
      <c r="AE207" s="817">
        <f t="shared" ca="1" si="19"/>
        <v>-534</v>
      </c>
      <c r="AF207" s="805" t="s">
        <v>48</v>
      </c>
    </row>
    <row r="208" spans="1:32" s="820" customFormat="1" ht="25.5" x14ac:dyDescent="0.2">
      <c r="A208" s="821" t="s">
        <v>2314</v>
      </c>
      <c r="B208" s="805"/>
      <c r="C208" s="805" t="s">
        <v>2315</v>
      </c>
      <c r="D208" s="806" t="s">
        <v>2316</v>
      </c>
      <c r="E208" s="806" t="s">
        <v>2317</v>
      </c>
      <c r="F208" s="807">
        <v>120499.92</v>
      </c>
      <c r="G208" s="808">
        <v>0</v>
      </c>
      <c r="H208" s="808">
        <v>0</v>
      </c>
      <c r="I208" s="808">
        <v>0</v>
      </c>
      <c r="J208" s="808">
        <v>0</v>
      </c>
      <c r="K208" s="808">
        <v>0</v>
      </c>
      <c r="L208" s="808">
        <v>0</v>
      </c>
      <c r="M208" s="808">
        <v>0</v>
      </c>
      <c r="N208" s="808">
        <v>0</v>
      </c>
      <c r="O208" s="808">
        <v>0</v>
      </c>
      <c r="P208" s="808">
        <v>0</v>
      </c>
      <c r="Q208" s="808">
        <v>0</v>
      </c>
      <c r="R208" s="808">
        <v>0</v>
      </c>
      <c r="S208" s="809">
        <f t="shared" si="18"/>
        <v>0</v>
      </c>
      <c r="T208" s="810">
        <f t="shared" ca="1" si="17"/>
        <v>-586</v>
      </c>
      <c r="U208" s="811">
        <v>43796</v>
      </c>
      <c r="V208" s="812" t="s">
        <v>2318</v>
      </c>
      <c r="W208" s="813"/>
      <c r="X208" s="814"/>
      <c r="Y208" s="814"/>
      <c r="Z208" s="814"/>
      <c r="AA208" s="814"/>
      <c r="AB208" s="814"/>
      <c r="AC208" s="815"/>
      <c r="AD208" s="816">
        <v>43432</v>
      </c>
      <c r="AE208" s="817">
        <f t="shared" ca="1" si="19"/>
        <v>-1242</v>
      </c>
      <c r="AF208" s="805"/>
    </row>
    <row r="209" spans="1:32" s="820" customFormat="1" ht="38.25" x14ac:dyDescent="0.2">
      <c r="A209" s="805" t="s">
        <v>2304</v>
      </c>
      <c r="B209" s="805" t="s">
        <v>1444</v>
      </c>
      <c r="C209" s="805" t="s">
        <v>2305</v>
      </c>
      <c r="D209" s="806" t="s">
        <v>2080</v>
      </c>
      <c r="E209" s="806" t="s">
        <v>1446</v>
      </c>
      <c r="F209" s="807">
        <v>31200</v>
      </c>
      <c r="G209" s="808">
        <v>0</v>
      </c>
      <c r="H209" s="808">
        <v>0</v>
      </c>
      <c r="I209" s="808">
        <v>0</v>
      </c>
      <c r="J209" s="808">
        <v>0</v>
      </c>
      <c r="K209" s="808">
        <v>0</v>
      </c>
      <c r="L209" s="808">
        <v>0</v>
      </c>
      <c r="M209" s="808">
        <v>0</v>
      </c>
      <c r="N209" s="808">
        <v>0</v>
      </c>
      <c r="O209" s="808">
        <v>0</v>
      </c>
      <c r="P209" s="808">
        <v>0</v>
      </c>
      <c r="Q209" s="808">
        <v>0</v>
      </c>
      <c r="R209" s="808">
        <v>0</v>
      </c>
      <c r="S209" s="809">
        <f t="shared" si="18"/>
        <v>0</v>
      </c>
      <c r="T209" s="810">
        <f t="shared" ca="1" si="17"/>
        <v>-571</v>
      </c>
      <c r="U209" s="811">
        <v>43811</v>
      </c>
      <c r="V209" s="812" t="s">
        <v>2306</v>
      </c>
      <c r="W209" s="813"/>
      <c r="X209" s="814"/>
      <c r="Y209" s="814"/>
      <c r="Z209" s="814"/>
      <c r="AA209" s="814"/>
      <c r="AB209" s="814"/>
      <c r="AC209" s="815"/>
      <c r="AD209" s="816">
        <v>43447</v>
      </c>
      <c r="AE209" s="817">
        <f t="shared" ca="1" si="19"/>
        <v>-1257</v>
      </c>
      <c r="AF209" s="805" t="s">
        <v>2307</v>
      </c>
    </row>
    <row r="210" spans="1:32" s="820" customFormat="1" ht="38.25" x14ac:dyDescent="0.2">
      <c r="A210" s="805" t="s">
        <v>2300</v>
      </c>
      <c r="B210" s="819"/>
      <c r="C210" s="805" t="s">
        <v>2301</v>
      </c>
      <c r="D210" s="806" t="s">
        <v>2302</v>
      </c>
      <c r="E210" s="806" t="s">
        <v>1351</v>
      </c>
      <c r="F210" s="807">
        <v>240633.12</v>
      </c>
      <c r="G210" s="808">
        <v>0</v>
      </c>
      <c r="H210" s="808">
        <v>0</v>
      </c>
      <c r="I210" s="808">
        <v>0</v>
      </c>
      <c r="J210" s="808">
        <v>0</v>
      </c>
      <c r="K210" s="808">
        <v>0</v>
      </c>
      <c r="L210" s="808">
        <v>0</v>
      </c>
      <c r="M210" s="808">
        <v>0</v>
      </c>
      <c r="N210" s="808">
        <v>0</v>
      </c>
      <c r="O210" s="808">
        <v>0</v>
      </c>
      <c r="P210" s="808">
        <v>0</v>
      </c>
      <c r="Q210" s="846" t="s">
        <v>2556</v>
      </c>
      <c r="R210" s="808">
        <v>11877.9</v>
      </c>
      <c r="S210" s="809">
        <f t="shared" si="18"/>
        <v>11877.9</v>
      </c>
      <c r="T210" s="810">
        <f t="shared" ca="1" si="17"/>
        <v>-655</v>
      </c>
      <c r="U210" s="811">
        <v>43727</v>
      </c>
      <c r="V210" s="812" t="s">
        <v>2303</v>
      </c>
      <c r="W210" s="813"/>
      <c r="X210" s="814"/>
      <c r="Y210" s="814"/>
      <c r="Z210" s="814"/>
      <c r="AA210" s="814"/>
      <c r="AB210" s="814"/>
      <c r="AC210" s="815"/>
      <c r="AD210" s="816">
        <v>43363</v>
      </c>
      <c r="AE210" s="817">
        <f t="shared" ca="1" si="19"/>
        <v>-1173</v>
      </c>
      <c r="AF210" s="805" t="s">
        <v>2307</v>
      </c>
    </row>
    <row r="211" spans="1:32" s="820" customFormat="1" ht="89.25" x14ac:dyDescent="0.2">
      <c r="A211" s="805" t="s">
        <v>2150</v>
      </c>
      <c r="B211" s="819"/>
      <c r="C211" s="805" t="s">
        <v>2151</v>
      </c>
      <c r="D211" s="806" t="s">
        <v>2440</v>
      </c>
      <c r="E211" s="806" t="s">
        <v>2153</v>
      </c>
      <c r="F211" s="807">
        <v>0</v>
      </c>
      <c r="G211" s="808">
        <v>0</v>
      </c>
      <c r="H211" s="808">
        <v>0</v>
      </c>
      <c r="I211" s="808">
        <v>0</v>
      </c>
      <c r="J211" s="808">
        <v>0</v>
      </c>
      <c r="K211" s="808">
        <v>0</v>
      </c>
      <c r="L211" s="808">
        <v>0</v>
      </c>
      <c r="M211" s="808">
        <v>0</v>
      </c>
      <c r="N211" s="808">
        <v>0</v>
      </c>
      <c r="O211" s="808">
        <v>0</v>
      </c>
      <c r="P211" s="808">
        <v>0</v>
      </c>
      <c r="Q211" s="808">
        <v>0</v>
      </c>
      <c r="R211" s="808">
        <v>0</v>
      </c>
      <c r="S211" s="809">
        <f t="shared" si="18"/>
        <v>0</v>
      </c>
      <c r="T211" s="810">
        <f t="shared" ca="1" si="17"/>
        <v>-165</v>
      </c>
      <c r="U211" s="811">
        <v>44217</v>
      </c>
      <c r="V211" s="812" t="s">
        <v>2184</v>
      </c>
      <c r="W211" s="813"/>
      <c r="X211" s="814"/>
      <c r="Y211" s="814"/>
      <c r="Z211" s="814"/>
      <c r="AA211" s="814"/>
      <c r="AB211" s="814"/>
      <c r="AC211" s="815"/>
      <c r="AD211" s="816">
        <v>43334</v>
      </c>
      <c r="AE211" s="817">
        <f t="shared" ca="1" si="19"/>
        <v>-1144</v>
      </c>
      <c r="AF211" s="805"/>
    </row>
    <row r="212" spans="1:32" s="820" customFormat="1" ht="89.25" x14ac:dyDescent="0.2">
      <c r="A212" s="805" t="s">
        <v>2150</v>
      </c>
      <c r="B212" s="819"/>
      <c r="C212" s="805" t="s">
        <v>2151</v>
      </c>
      <c r="D212" s="806" t="s">
        <v>2441</v>
      </c>
      <c r="E212" s="806" t="s">
        <v>2153</v>
      </c>
      <c r="F212" s="807">
        <v>0</v>
      </c>
      <c r="G212" s="808">
        <v>0</v>
      </c>
      <c r="H212" s="808">
        <v>0</v>
      </c>
      <c r="I212" s="808">
        <v>0</v>
      </c>
      <c r="J212" s="808">
        <v>0</v>
      </c>
      <c r="K212" s="808">
        <v>0</v>
      </c>
      <c r="L212" s="808">
        <v>0</v>
      </c>
      <c r="M212" s="808">
        <v>0</v>
      </c>
      <c r="N212" s="808">
        <v>0</v>
      </c>
      <c r="O212" s="808">
        <v>0</v>
      </c>
      <c r="P212" s="808">
        <v>0</v>
      </c>
      <c r="Q212" s="808">
        <v>0</v>
      </c>
      <c r="R212" s="808">
        <v>0</v>
      </c>
      <c r="S212" s="809">
        <f t="shared" si="18"/>
        <v>0</v>
      </c>
      <c r="T212" s="810">
        <f t="shared" ca="1" si="17"/>
        <v>-159</v>
      </c>
      <c r="U212" s="811">
        <v>44223</v>
      </c>
      <c r="V212" s="812" t="s">
        <v>2442</v>
      </c>
      <c r="W212" s="813"/>
      <c r="X212" s="814"/>
      <c r="Y212" s="814"/>
      <c r="Z212" s="814"/>
      <c r="AA212" s="814"/>
      <c r="AB212" s="814"/>
      <c r="AC212" s="815"/>
      <c r="AD212" s="816">
        <v>43334</v>
      </c>
      <c r="AE212" s="817">
        <f t="shared" ca="1" si="19"/>
        <v>-1144</v>
      </c>
      <c r="AF212" s="805"/>
    </row>
    <row r="213" spans="1:32" s="820" customFormat="1" ht="89.25" x14ac:dyDescent="0.2">
      <c r="A213" s="805" t="s">
        <v>2150</v>
      </c>
      <c r="B213" s="819"/>
      <c r="C213" s="805" t="s">
        <v>2151</v>
      </c>
      <c r="D213" s="806" t="s">
        <v>2443</v>
      </c>
      <c r="E213" s="806" t="s">
        <v>2153</v>
      </c>
      <c r="F213" s="807">
        <v>0</v>
      </c>
      <c r="G213" s="808">
        <v>0</v>
      </c>
      <c r="H213" s="808">
        <v>0</v>
      </c>
      <c r="I213" s="808">
        <v>0</v>
      </c>
      <c r="J213" s="808">
        <v>0</v>
      </c>
      <c r="K213" s="808">
        <v>0</v>
      </c>
      <c r="L213" s="808">
        <v>0</v>
      </c>
      <c r="M213" s="808">
        <v>0</v>
      </c>
      <c r="N213" s="808">
        <v>0</v>
      </c>
      <c r="O213" s="808">
        <v>0</v>
      </c>
      <c r="P213" s="808">
        <v>0</v>
      </c>
      <c r="Q213" s="808">
        <v>0</v>
      </c>
      <c r="R213" s="808">
        <v>0</v>
      </c>
      <c r="S213" s="809">
        <f t="shared" si="18"/>
        <v>0</v>
      </c>
      <c r="T213" s="810">
        <f t="shared" ca="1" si="17"/>
        <v>-103</v>
      </c>
      <c r="U213" s="811">
        <v>44279</v>
      </c>
      <c r="V213" s="812" t="s">
        <v>2224</v>
      </c>
      <c r="W213" s="813"/>
      <c r="X213" s="814"/>
      <c r="Y213" s="814"/>
      <c r="Z213" s="814"/>
      <c r="AA213" s="814"/>
      <c r="AB213" s="814"/>
      <c r="AC213" s="815"/>
      <c r="AD213" s="816">
        <v>43368</v>
      </c>
      <c r="AE213" s="817">
        <f t="shared" ca="1" si="19"/>
        <v>-1178</v>
      </c>
      <c r="AF213" s="805"/>
    </row>
    <row r="214" spans="1:32" s="820" customFormat="1" ht="89.25" x14ac:dyDescent="0.2">
      <c r="A214" s="805" t="s">
        <v>2150</v>
      </c>
      <c r="B214" s="819"/>
      <c r="C214" s="805" t="s">
        <v>2151</v>
      </c>
      <c r="D214" s="806" t="s">
        <v>2444</v>
      </c>
      <c r="E214" s="806" t="s">
        <v>2153</v>
      </c>
      <c r="F214" s="807">
        <v>0</v>
      </c>
      <c r="G214" s="808">
        <v>0</v>
      </c>
      <c r="H214" s="808">
        <v>0</v>
      </c>
      <c r="I214" s="808">
        <v>0</v>
      </c>
      <c r="J214" s="808">
        <v>0</v>
      </c>
      <c r="K214" s="808">
        <v>0</v>
      </c>
      <c r="L214" s="808">
        <v>0</v>
      </c>
      <c r="M214" s="808">
        <v>0</v>
      </c>
      <c r="N214" s="808">
        <v>0</v>
      </c>
      <c r="O214" s="808">
        <v>0</v>
      </c>
      <c r="P214" s="808">
        <v>0</v>
      </c>
      <c r="Q214" s="808">
        <v>0</v>
      </c>
      <c r="R214" s="808">
        <v>0</v>
      </c>
      <c r="S214" s="809">
        <f t="shared" si="18"/>
        <v>0</v>
      </c>
      <c r="T214" s="810">
        <f t="shared" ca="1" si="17"/>
        <v>-28</v>
      </c>
      <c r="U214" s="811">
        <v>44354</v>
      </c>
      <c r="V214" s="812" t="s">
        <v>2445</v>
      </c>
      <c r="W214" s="813"/>
      <c r="X214" s="814"/>
      <c r="Y214" s="814"/>
      <c r="Z214" s="814"/>
      <c r="AA214" s="814"/>
      <c r="AB214" s="814"/>
      <c r="AC214" s="815"/>
      <c r="AD214" s="816">
        <v>43444</v>
      </c>
      <c r="AE214" s="817">
        <f t="shared" ca="1" si="19"/>
        <v>-1254</v>
      </c>
      <c r="AF214" s="805"/>
    </row>
    <row r="215" spans="1:32" s="820" customFormat="1" ht="89.25" x14ac:dyDescent="0.2">
      <c r="A215" s="805" t="s">
        <v>2150</v>
      </c>
      <c r="B215" s="819"/>
      <c r="C215" s="805" t="s">
        <v>2151</v>
      </c>
      <c r="D215" s="806" t="s">
        <v>2446</v>
      </c>
      <c r="E215" s="806" t="s">
        <v>2153</v>
      </c>
      <c r="F215" s="807">
        <v>0</v>
      </c>
      <c r="G215" s="808">
        <v>0</v>
      </c>
      <c r="H215" s="808">
        <v>0</v>
      </c>
      <c r="I215" s="808">
        <v>0</v>
      </c>
      <c r="J215" s="808">
        <v>0</v>
      </c>
      <c r="K215" s="808">
        <v>0</v>
      </c>
      <c r="L215" s="808">
        <v>0</v>
      </c>
      <c r="M215" s="808">
        <v>0</v>
      </c>
      <c r="N215" s="808">
        <v>0</v>
      </c>
      <c r="O215" s="808">
        <v>0</v>
      </c>
      <c r="P215" s="808">
        <v>0</v>
      </c>
      <c r="Q215" s="808">
        <v>0</v>
      </c>
      <c r="R215" s="808">
        <v>0</v>
      </c>
      <c r="S215" s="809">
        <f t="shared" ref="S215:S224" si="20">SUM(G215:R215)</f>
        <v>0</v>
      </c>
      <c r="T215" s="810">
        <f t="shared" ca="1" si="17"/>
        <v>-120</v>
      </c>
      <c r="U215" s="811">
        <v>44262</v>
      </c>
      <c r="V215" s="812" t="s">
        <v>2226</v>
      </c>
      <c r="W215" s="813"/>
      <c r="X215" s="814"/>
      <c r="Y215" s="814"/>
      <c r="Z215" s="814"/>
      <c r="AA215" s="814"/>
      <c r="AB215" s="814"/>
      <c r="AC215" s="815"/>
      <c r="AD215" s="816">
        <v>43381</v>
      </c>
      <c r="AE215" s="817">
        <f t="shared" ca="1" si="19"/>
        <v>-1191</v>
      </c>
      <c r="AF215" s="805"/>
    </row>
    <row r="216" spans="1:32" s="822" customFormat="1" ht="38.25" x14ac:dyDescent="0.2">
      <c r="A216" s="821" t="s">
        <v>1756</v>
      </c>
      <c r="B216" s="805"/>
      <c r="C216" s="805" t="s">
        <v>1757</v>
      </c>
      <c r="D216" s="806" t="s">
        <v>2447</v>
      </c>
      <c r="E216" s="806" t="s">
        <v>1798</v>
      </c>
      <c r="F216" s="807" t="s">
        <v>314</v>
      </c>
      <c r="G216" s="808">
        <v>0</v>
      </c>
      <c r="H216" s="808">
        <v>0</v>
      </c>
      <c r="I216" s="808">
        <v>0</v>
      </c>
      <c r="J216" s="808">
        <v>0</v>
      </c>
      <c r="K216" s="808">
        <v>0</v>
      </c>
      <c r="L216" s="808">
        <v>0</v>
      </c>
      <c r="M216" s="808">
        <v>0</v>
      </c>
      <c r="N216" s="808">
        <v>0</v>
      </c>
      <c r="O216" s="808">
        <v>0</v>
      </c>
      <c r="P216" s="808">
        <v>0</v>
      </c>
      <c r="Q216" s="808">
        <v>0</v>
      </c>
      <c r="R216" s="808">
        <v>0</v>
      </c>
      <c r="S216" s="809">
        <f t="shared" si="20"/>
        <v>0</v>
      </c>
      <c r="T216" s="810">
        <f t="shared" ca="1" si="17"/>
        <v>-630</v>
      </c>
      <c r="U216" s="811">
        <v>43752</v>
      </c>
      <c r="V216" s="831" t="s">
        <v>2448</v>
      </c>
      <c r="W216" s="813"/>
      <c r="X216" s="814"/>
      <c r="Y216" s="814"/>
      <c r="Z216" s="814"/>
      <c r="AA216" s="814"/>
      <c r="AB216" s="814"/>
      <c r="AC216" s="815"/>
      <c r="AD216" s="816">
        <v>42356</v>
      </c>
      <c r="AE216" s="817">
        <f t="shared" ca="1" si="19"/>
        <v>-166</v>
      </c>
      <c r="AF216" s="805" t="s">
        <v>1763</v>
      </c>
    </row>
    <row r="217" spans="1:32" s="820" customFormat="1" ht="89.25" x14ac:dyDescent="0.2">
      <c r="A217" s="805" t="s">
        <v>2150</v>
      </c>
      <c r="B217" s="819"/>
      <c r="C217" s="805" t="s">
        <v>2151</v>
      </c>
      <c r="D217" s="806" t="s">
        <v>2449</v>
      </c>
      <c r="E217" s="806" t="s">
        <v>2153</v>
      </c>
      <c r="F217" s="807">
        <v>0</v>
      </c>
      <c r="G217" s="808">
        <v>0</v>
      </c>
      <c r="H217" s="808">
        <v>0</v>
      </c>
      <c r="I217" s="808">
        <v>0</v>
      </c>
      <c r="J217" s="808">
        <v>0</v>
      </c>
      <c r="K217" s="808">
        <v>0</v>
      </c>
      <c r="L217" s="808">
        <v>0</v>
      </c>
      <c r="M217" s="808">
        <v>0</v>
      </c>
      <c r="N217" s="808">
        <v>0</v>
      </c>
      <c r="O217" s="808">
        <v>0</v>
      </c>
      <c r="P217" s="808">
        <v>0</v>
      </c>
      <c r="Q217" s="808">
        <v>0</v>
      </c>
      <c r="R217" s="808">
        <v>0</v>
      </c>
      <c r="S217" s="809">
        <f t="shared" si="20"/>
        <v>0</v>
      </c>
      <c r="T217" s="810">
        <f t="shared" ca="1" si="17"/>
        <v>-155</v>
      </c>
      <c r="U217" s="811">
        <v>44227</v>
      </c>
      <c r="V217" s="812" t="s">
        <v>2224</v>
      </c>
      <c r="W217" s="813"/>
      <c r="X217" s="814"/>
      <c r="Y217" s="814"/>
      <c r="Z217" s="814"/>
      <c r="AA217" s="814"/>
      <c r="AB217" s="814"/>
      <c r="AC217" s="815"/>
      <c r="AD217" s="816">
        <v>43368</v>
      </c>
      <c r="AE217" s="817">
        <f t="shared" ca="1" si="19"/>
        <v>-1178</v>
      </c>
      <c r="AF217" s="805"/>
    </row>
    <row r="218" spans="1:32" s="820" customFormat="1" ht="89.25" x14ac:dyDescent="0.2">
      <c r="A218" s="805" t="s">
        <v>2150</v>
      </c>
      <c r="B218" s="819"/>
      <c r="C218" s="805" t="s">
        <v>2151</v>
      </c>
      <c r="D218" s="806" t="s">
        <v>2450</v>
      </c>
      <c r="E218" s="806" t="s">
        <v>2153</v>
      </c>
      <c r="F218" s="807">
        <v>0</v>
      </c>
      <c r="G218" s="808">
        <v>0</v>
      </c>
      <c r="H218" s="808">
        <v>0</v>
      </c>
      <c r="I218" s="808">
        <v>0</v>
      </c>
      <c r="J218" s="808">
        <v>0</v>
      </c>
      <c r="K218" s="808">
        <v>0</v>
      </c>
      <c r="L218" s="808">
        <v>0</v>
      </c>
      <c r="M218" s="808">
        <v>0</v>
      </c>
      <c r="N218" s="808">
        <v>0</v>
      </c>
      <c r="O218" s="808">
        <v>0</v>
      </c>
      <c r="P218" s="808">
        <v>0</v>
      </c>
      <c r="Q218" s="808">
        <v>0</v>
      </c>
      <c r="R218" s="808">
        <v>0</v>
      </c>
      <c r="S218" s="809">
        <f t="shared" si="20"/>
        <v>0</v>
      </c>
      <c r="T218" s="810">
        <f t="shared" ca="1" si="17"/>
        <v>-27</v>
      </c>
      <c r="U218" s="811">
        <v>44355</v>
      </c>
      <c r="V218" s="812" t="s">
        <v>2451</v>
      </c>
      <c r="W218" s="813"/>
      <c r="X218" s="814"/>
      <c r="Y218" s="814"/>
      <c r="Z218" s="814"/>
      <c r="AA218" s="814"/>
      <c r="AB218" s="814"/>
      <c r="AC218" s="815"/>
      <c r="AD218" s="816">
        <v>43445</v>
      </c>
      <c r="AE218" s="817">
        <f t="shared" ca="1" si="19"/>
        <v>-1255</v>
      </c>
      <c r="AF218" s="805"/>
    </row>
    <row r="219" spans="1:32" s="820" customFormat="1" ht="89.25" x14ac:dyDescent="0.2">
      <c r="A219" s="805" t="s">
        <v>2150</v>
      </c>
      <c r="B219" s="819"/>
      <c r="C219" s="805" t="s">
        <v>2151</v>
      </c>
      <c r="D219" s="806" t="s">
        <v>2452</v>
      </c>
      <c r="E219" s="806" t="s">
        <v>2153</v>
      </c>
      <c r="F219" s="807">
        <v>0</v>
      </c>
      <c r="G219" s="808">
        <v>0</v>
      </c>
      <c r="H219" s="808">
        <v>0</v>
      </c>
      <c r="I219" s="808">
        <v>0</v>
      </c>
      <c r="J219" s="808">
        <v>0</v>
      </c>
      <c r="K219" s="808">
        <v>0</v>
      </c>
      <c r="L219" s="808">
        <v>0</v>
      </c>
      <c r="M219" s="808">
        <v>0</v>
      </c>
      <c r="N219" s="808">
        <v>0</v>
      </c>
      <c r="O219" s="808">
        <v>0</v>
      </c>
      <c r="P219" s="808">
        <v>0</v>
      </c>
      <c r="Q219" s="808">
        <v>0</v>
      </c>
      <c r="R219" s="808">
        <v>0</v>
      </c>
      <c r="S219" s="809">
        <f t="shared" si="20"/>
        <v>0</v>
      </c>
      <c r="T219" s="810">
        <f t="shared" ca="1" si="17"/>
        <v>-105</v>
      </c>
      <c r="U219" s="811">
        <v>44277</v>
      </c>
      <c r="V219" s="812" t="s">
        <v>2224</v>
      </c>
      <c r="W219" s="813"/>
      <c r="X219" s="814"/>
      <c r="Y219" s="814"/>
      <c r="Z219" s="814"/>
      <c r="AA219" s="814"/>
      <c r="AB219" s="814"/>
      <c r="AC219" s="815"/>
      <c r="AD219" s="816">
        <v>43368</v>
      </c>
      <c r="AE219" s="817">
        <f t="shared" ca="1" si="19"/>
        <v>-1178</v>
      </c>
      <c r="AF219" s="805"/>
    </row>
    <row r="220" spans="1:32" s="820" customFormat="1" ht="89.25" x14ac:dyDescent="0.2">
      <c r="A220" s="805" t="s">
        <v>2150</v>
      </c>
      <c r="B220" s="819"/>
      <c r="C220" s="805" t="s">
        <v>2151</v>
      </c>
      <c r="D220" s="806" t="s">
        <v>2453</v>
      </c>
      <c r="E220" s="806" t="s">
        <v>2153</v>
      </c>
      <c r="F220" s="807">
        <v>0</v>
      </c>
      <c r="G220" s="808">
        <v>0</v>
      </c>
      <c r="H220" s="808">
        <v>0</v>
      </c>
      <c r="I220" s="808">
        <v>0</v>
      </c>
      <c r="J220" s="808">
        <v>0</v>
      </c>
      <c r="K220" s="808">
        <v>0</v>
      </c>
      <c r="L220" s="808">
        <v>0</v>
      </c>
      <c r="M220" s="808">
        <v>0</v>
      </c>
      <c r="N220" s="808">
        <v>0</v>
      </c>
      <c r="O220" s="808">
        <v>0</v>
      </c>
      <c r="P220" s="808">
        <v>0</v>
      </c>
      <c r="Q220" s="808">
        <v>0</v>
      </c>
      <c r="R220" s="808">
        <v>0</v>
      </c>
      <c r="S220" s="809">
        <f t="shared" si="20"/>
        <v>0</v>
      </c>
      <c r="T220" s="810">
        <f t="shared" ca="1" si="17"/>
        <v>-27</v>
      </c>
      <c r="U220" s="811">
        <v>44355</v>
      </c>
      <c r="V220" s="812" t="s">
        <v>2451</v>
      </c>
      <c r="W220" s="813"/>
      <c r="X220" s="814"/>
      <c r="Y220" s="814"/>
      <c r="Z220" s="814"/>
      <c r="AA220" s="814"/>
      <c r="AB220" s="814"/>
      <c r="AC220" s="815"/>
      <c r="AD220" s="816">
        <v>43445</v>
      </c>
      <c r="AE220" s="817">
        <f t="shared" ca="1" si="19"/>
        <v>-1255</v>
      </c>
      <c r="AF220" s="805"/>
    </row>
    <row r="221" spans="1:32" s="820" customFormat="1" ht="89.25" x14ac:dyDescent="0.2">
      <c r="A221" s="805" t="s">
        <v>2150</v>
      </c>
      <c r="B221" s="819"/>
      <c r="C221" s="805" t="s">
        <v>2151</v>
      </c>
      <c r="D221" s="806" t="s">
        <v>2454</v>
      </c>
      <c r="E221" s="806" t="s">
        <v>2153</v>
      </c>
      <c r="F221" s="807">
        <v>0</v>
      </c>
      <c r="G221" s="808">
        <v>0</v>
      </c>
      <c r="H221" s="808">
        <v>0</v>
      </c>
      <c r="I221" s="808">
        <v>0</v>
      </c>
      <c r="J221" s="808">
        <v>0</v>
      </c>
      <c r="K221" s="808">
        <v>0</v>
      </c>
      <c r="L221" s="808">
        <v>0</v>
      </c>
      <c r="M221" s="808">
        <v>0</v>
      </c>
      <c r="N221" s="808">
        <v>0</v>
      </c>
      <c r="O221" s="808">
        <v>0</v>
      </c>
      <c r="P221" s="808">
        <v>0</v>
      </c>
      <c r="Q221" s="808">
        <v>0</v>
      </c>
      <c r="R221" s="808">
        <v>0</v>
      </c>
      <c r="S221" s="809">
        <f t="shared" si="20"/>
        <v>0</v>
      </c>
      <c r="T221" s="810">
        <f t="shared" ca="1" si="17"/>
        <v>-131</v>
      </c>
      <c r="U221" s="811">
        <v>44251</v>
      </c>
      <c r="V221" s="812" t="s">
        <v>2455</v>
      </c>
      <c r="W221" s="813"/>
      <c r="X221" s="814"/>
      <c r="Y221" s="814"/>
      <c r="Z221" s="814"/>
      <c r="AA221" s="814"/>
      <c r="AB221" s="814"/>
      <c r="AC221" s="815"/>
      <c r="AD221" s="816">
        <v>43368</v>
      </c>
      <c r="AE221" s="817">
        <f t="shared" ca="1" si="19"/>
        <v>-1178</v>
      </c>
      <c r="AF221" s="805"/>
    </row>
    <row r="222" spans="1:32" s="820" customFormat="1" ht="89.25" x14ac:dyDescent="0.2">
      <c r="A222" s="805" t="s">
        <v>2150</v>
      </c>
      <c r="B222" s="819"/>
      <c r="C222" s="805" t="s">
        <v>2151</v>
      </c>
      <c r="D222" s="806" t="s">
        <v>2456</v>
      </c>
      <c r="E222" s="806" t="s">
        <v>2153</v>
      </c>
      <c r="F222" s="807">
        <v>0</v>
      </c>
      <c r="G222" s="808">
        <v>0</v>
      </c>
      <c r="H222" s="808">
        <v>0</v>
      </c>
      <c r="I222" s="808">
        <v>0</v>
      </c>
      <c r="J222" s="808">
        <v>0</v>
      </c>
      <c r="K222" s="808">
        <v>0</v>
      </c>
      <c r="L222" s="808">
        <v>0</v>
      </c>
      <c r="M222" s="808">
        <v>0</v>
      </c>
      <c r="N222" s="808">
        <v>0</v>
      </c>
      <c r="O222" s="808">
        <v>0</v>
      </c>
      <c r="P222" s="808">
        <v>0</v>
      </c>
      <c r="Q222" s="808">
        <v>0</v>
      </c>
      <c r="R222" s="808">
        <v>0</v>
      </c>
      <c r="S222" s="809">
        <f t="shared" si="20"/>
        <v>0</v>
      </c>
      <c r="T222" s="810">
        <f t="shared" ca="1" si="17"/>
        <v>-158</v>
      </c>
      <c r="U222" s="811">
        <v>44224</v>
      </c>
      <c r="V222" s="812" t="s">
        <v>2457</v>
      </c>
      <c r="W222" s="813"/>
      <c r="X222" s="814"/>
      <c r="Y222" s="814"/>
      <c r="Z222" s="814"/>
      <c r="AA222" s="814"/>
      <c r="AB222" s="814"/>
      <c r="AC222" s="815"/>
      <c r="AD222" s="816">
        <v>43343</v>
      </c>
      <c r="AE222" s="817">
        <f t="shared" ca="1" si="19"/>
        <v>-1153</v>
      </c>
      <c r="AF222" s="805"/>
    </row>
    <row r="223" spans="1:32" s="820" customFormat="1" ht="89.25" x14ac:dyDescent="0.2">
      <c r="A223" s="805" t="s">
        <v>2150</v>
      </c>
      <c r="B223" s="819"/>
      <c r="C223" s="805" t="s">
        <v>2151</v>
      </c>
      <c r="D223" s="806" t="s">
        <v>2458</v>
      </c>
      <c r="E223" s="806" t="s">
        <v>2153</v>
      </c>
      <c r="F223" s="807">
        <v>0</v>
      </c>
      <c r="G223" s="808">
        <v>0</v>
      </c>
      <c r="H223" s="808">
        <v>0</v>
      </c>
      <c r="I223" s="808">
        <v>0</v>
      </c>
      <c r="J223" s="808">
        <v>0</v>
      </c>
      <c r="K223" s="808">
        <v>0</v>
      </c>
      <c r="L223" s="808">
        <v>0</v>
      </c>
      <c r="M223" s="808">
        <v>0</v>
      </c>
      <c r="N223" s="808">
        <v>0</v>
      </c>
      <c r="O223" s="808">
        <v>0</v>
      </c>
      <c r="P223" s="808">
        <v>0</v>
      </c>
      <c r="Q223" s="808">
        <v>0</v>
      </c>
      <c r="R223" s="808">
        <v>0</v>
      </c>
      <c r="S223" s="809">
        <f t="shared" si="20"/>
        <v>0</v>
      </c>
      <c r="T223" s="810">
        <f t="shared" ca="1" si="17"/>
        <v>-116</v>
      </c>
      <c r="U223" s="811">
        <v>44266</v>
      </c>
      <c r="V223" s="812" t="s">
        <v>2459</v>
      </c>
      <c r="W223" s="813"/>
      <c r="X223" s="814"/>
      <c r="Y223" s="814"/>
      <c r="Z223" s="814"/>
      <c r="AA223" s="814"/>
      <c r="AB223" s="814"/>
      <c r="AC223" s="815"/>
      <c r="AD223" s="816">
        <v>43384</v>
      </c>
      <c r="AE223" s="817">
        <f t="shared" ca="1" si="19"/>
        <v>-1194</v>
      </c>
      <c r="AF223" s="805"/>
    </row>
    <row r="224" spans="1:32" s="820" customFormat="1" ht="89.25" x14ac:dyDescent="0.2">
      <c r="A224" s="805" t="s">
        <v>2150</v>
      </c>
      <c r="B224" s="819"/>
      <c r="C224" s="805" t="s">
        <v>2151</v>
      </c>
      <c r="D224" s="806" t="s">
        <v>2460</v>
      </c>
      <c r="E224" s="806" t="s">
        <v>2153</v>
      </c>
      <c r="F224" s="807">
        <v>0</v>
      </c>
      <c r="G224" s="808">
        <v>0</v>
      </c>
      <c r="H224" s="808">
        <v>0</v>
      </c>
      <c r="I224" s="808">
        <v>0</v>
      </c>
      <c r="J224" s="808">
        <v>0</v>
      </c>
      <c r="K224" s="808">
        <v>0</v>
      </c>
      <c r="L224" s="808">
        <v>0</v>
      </c>
      <c r="M224" s="808">
        <v>0</v>
      </c>
      <c r="N224" s="808">
        <v>0</v>
      </c>
      <c r="O224" s="808">
        <v>0</v>
      </c>
      <c r="P224" s="808">
        <v>0</v>
      </c>
      <c r="Q224" s="808">
        <v>0</v>
      </c>
      <c r="R224" s="808">
        <v>0</v>
      </c>
      <c r="S224" s="809">
        <f t="shared" si="20"/>
        <v>0</v>
      </c>
      <c r="T224" s="810">
        <f t="shared" ca="1" si="17"/>
        <v>-155</v>
      </c>
      <c r="U224" s="811">
        <v>44227</v>
      </c>
      <c r="V224" s="812" t="s">
        <v>2457</v>
      </c>
      <c r="W224" s="813"/>
      <c r="X224" s="814"/>
      <c r="Y224" s="814"/>
      <c r="Z224" s="814"/>
      <c r="AA224" s="814"/>
      <c r="AB224" s="814"/>
      <c r="AC224" s="815"/>
      <c r="AD224" s="816">
        <v>43343</v>
      </c>
      <c r="AE224" s="817">
        <f t="shared" ca="1" si="19"/>
        <v>-1153</v>
      </c>
      <c r="AF224" s="805"/>
    </row>
    <row r="225" spans="1:32" s="745" customFormat="1" x14ac:dyDescent="0.2">
      <c r="A225" s="649"/>
      <c r="B225" s="747"/>
      <c r="C225" s="649"/>
      <c r="D225" s="743"/>
      <c r="E225" s="743"/>
      <c r="F225" s="728"/>
      <c r="G225" s="729"/>
      <c r="H225" s="729"/>
      <c r="I225" s="729"/>
      <c r="J225" s="729"/>
      <c r="K225" s="729"/>
      <c r="L225" s="729"/>
      <c r="M225" s="729"/>
      <c r="N225" s="729"/>
      <c r="O225" s="729"/>
      <c r="P225" s="729"/>
      <c r="Q225" s="729"/>
      <c r="R225" s="729"/>
      <c r="S225" s="803">
        <f t="shared" ref="S225:S233" si="21">SUM(G225:R225)</f>
        <v>0</v>
      </c>
      <c r="T225" s="731">
        <f t="shared" ca="1" si="17"/>
        <v>-44382</v>
      </c>
      <c r="U225" s="732"/>
      <c r="V225" s="733"/>
      <c r="W225" s="734"/>
      <c r="X225" s="735"/>
      <c r="Y225" s="735"/>
      <c r="Z225" s="735"/>
      <c r="AA225" s="735"/>
      <c r="AB225" s="735"/>
      <c r="AC225" s="740"/>
      <c r="AD225" s="736"/>
      <c r="AE225" s="737"/>
      <c r="AF225" s="649"/>
    </row>
    <row r="226" spans="1:32" s="745" customFormat="1" x14ac:dyDescent="0.2">
      <c r="A226" s="649"/>
      <c r="B226" s="747"/>
      <c r="C226" s="649"/>
      <c r="D226" s="743"/>
      <c r="E226" s="743"/>
      <c r="F226" s="728"/>
      <c r="G226" s="729"/>
      <c r="H226" s="729"/>
      <c r="I226" s="729"/>
      <c r="J226" s="729"/>
      <c r="K226" s="729"/>
      <c r="L226" s="729"/>
      <c r="M226" s="729"/>
      <c r="N226" s="729"/>
      <c r="O226" s="729"/>
      <c r="P226" s="729"/>
      <c r="Q226" s="729"/>
      <c r="R226" s="729"/>
      <c r="S226" s="803">
        <f t="shared" si="21"/>
        <v>0</v>
      </c>
      <c r="T226" s="731">
        <f t="shared" ca="1" si="17"/>
        <v>-44382</v>
      </c>
      <c r="U226" s="732"/>
      <c r="V226" s="733"/>
      <c r="W226" s="734"/>
      <c r="X226" s="735"/>
      <c r="Y226" s="735"/>
      <c r="Z226" s="735"/>
      <c r="AA226" s="735"/>
      <c r="AB226" s="735"/>
      <c r="AC226" s="740"/>
      <c r="AD226" s="736"/>
      <c r="AE226" s="737"/>
      <c r="AF226" s="649"/>
    </row>
    <row r="227" spans="1:32" s="745" customFormat="1" x14ac:dyDescent="0.2">
      <c r="A227" s="649"/>
      <c r="B227" s="747"/>
      <c r="C227" s="649"/>
      <c r="D227" s="743"/>
      <c r="E227" s="743"/>
      <c r="F227" s="728"/>
      <c r="G227" s="729"/>
      <c r="H227" s="729"/>
      <c r="I227" s="729"/>
      <c r="J227" s="729"/>
      <c r="K227" s="729"/>
      <c r="L227" s="729"/>
      <c r="M227" s="729"/>
      <c r="N227" s="729"/>
      <c r="O227" s="729"/>
      <c r="P227" s="729"/>
      <c r="Q227" s="729"/>
      <c r="R227" s="729"/>
      <c r="S227" s="803">
        <f t="shared" si="21"/>
        <v>0</v>
      </c>
      <c r="T227" s="731">
        <f t="shared" ca="1" si="17"/>
        <v>-44382</v>
      </c>
      <c r="U227" s="732"/>
      <c r="V227" s="733"/>
      <c r="W227" s="734"/>
      <c r="X227" s="735"/>
      <c r="Y227" s="735"/>
      <c r="Z227" s="735"/>
      <c r="AA227" s="735"/>
      <c r="AB227" s="735"/>
      <c r="AC227" s="740"/>
      <c r="AD227" s="736"/>
      <c r="AE227" s="737"/>
      <c r="AF227" s="649"/>
    </row>
    <row r="228" spans="1:32" s="745" customFormat="1" x14ac:dyDescent="0.2">
      <c r="A228" s="649"/>
      <c r="B228" s="747"/>
      <c r="C228" s="649"/>
      <c r="D228" s="743"/>
      <c r="E228" s="743"/>
      <c r="F228" s="728"/>
      <c r="G228" s="729"/>
      <c r="H228" s="729"/>
      <c r="I228" s="729"/>
      <c r="J228" s="729"/>
      <c r="K228" s="729"/>
      <c r="L228" s="729"/>
      <c r="M228" s="729"/>
      <c r="N228" s="729"/>
      <c r="O228" s="729"/>
      <c r="P228" s="729"/>
      <c r="Q228" s="729"/>
      <c r="R228" s="729"/>
      <c r="S228" s="803">
        <f t="shared" si="21"/>
        <v>0</v>
      </c>
      <c r="T228" s="731">
        <f t="shared" ca="1" si="17"/>
        <v>-44382</v>
      </c>
      <c r="U228" s="732"/>
      <c r="V228" s="733"/>
      <c r="W228" s="734"/>
      <c r="X228" s="735"/>
      <c r="Y228" s="735"/>
      <c r="Z228" s="735"/>
      <c r="AA228" s="735"/>
      <c r="AB228" s="735"/>
      <c r="AC228" s="740"/>
      <c r="AD228" s="736"/>
      <c r="AE228" s="737"/>
      <c r="AF228" s="649"/>
    </row>
    <row r="229" spans="1:32" s="745" customFormat="1" x14ac:dyDescent="0.2">
      <c r="A229" s="742"/>
      <c r="B229" s="649"/>
      <c r="C229" s="649"/>
      <c r="D229" s="743"/>
      <c r="E229" s="743"/>
      <c r="F229" s="728"/>
      <c r="G229" s="729"/>
      <c r="H229" s="729"/>
      <c r="I229" s="729"/>
      <c r="J229" s="729"/>
      <c r="K229" s="729"/>
      <c r="L229" s="729"/>
      <c r="M229" s="729"/>
      <c r="N229" s="729"/>
      <c r="O229" s="729"/>
      <c r="P229" s="729"/>
      <c r="Q229" s="729"/>
      <c r="R229" s="729"/>
      <c r="S229" s="730">
        <f t="shared" si="21"/>
        <v>0</v>
      </c>
      <c r="T229" s="749">
        <f t="shared" ca="1" si="17"/>
        <v>-44382</v>
      </c>
      <c r="U229" s="732"/>
      <c r="V229" s="733"/>
      <c r="W229" s="734"/>
      <c r="X229" s="735"/>
      <c r="Y229" s="735"/>
      <c r="Z229" s="735"/>
      <c r="AA229" s="735"/>
      <c r="AB229" s="735"/>
      <c r="AC229" s="740"/>
      <c r="AD229" s="736"/>
      <c r="AE229" s="750">
        <f ca="1">TODAY()-DATE(YEAR(AD229)+6,MONTH(AD229),DAY(AD229))</f>
        <v>42190</v>
      </c>
      <c r="AF229" s="649"/>
    </row>
    <row r="230" spans="1:32" s="745" customFormat="1" x14ac:dyDescent="0.2">
      <c r="A230" s="742"/>
      <c r="B230" s="649"/>
      <c r="C230" s="649"/>
      <c r="D230" s="743"/>
      <c r="E230" s="743"/>
      <c r="F230" s="728"/>
      <c r="G230" s="729"/>
      <c r="H230" s="729"/>
      <c r="I230" s="729"/>
      <c r="J230" s="729"/>
      <c r="K230" s="729"/>
      <c r="L230" s="729"/>
      <c r="M230" s="729"/>
      <c r="N230" s="729"/>
      <c r="O230" s="729"/>
      <c r="P230" s="729"/>
      <c r="Q230" s="729"/>
      <c r="R230" s="729"/>
      <c r="S230" s="730">
        <f t="shared" si="21"/>
        <v>0</v>
      </c>
      <c r="T230" s="749">
        <f t="shared" ca="1" si="17"/>
        <v>-44382</v>
      </c>
      <c r="U230" s="732"/>
      <c r="V230" s="733"/>
      <c r="W230" s="734"/>
      <c r="X230" s="735"/>
      <c r="Y230" s="735"/>
      <c r="Z230" s="735"/>
      <c r="AA230" s="735"/>
      <c r="AB230" s="735"/>
      <c r="AC230" s="740"/>
      <c r="AD230" s="736"/>
      <c r="AE230" s="750">
        <f ca="1">TODAY()-DATE(YEAR(AD230)+6,MONTH(AD230),DAY(AD230))</f>
        <v>42190</v>
      </c>
      <c r="AF230" s="649"/>
    </row>
    <row r="231" spans="1:32" s="745" customFormat="1" x14ac:dyDescent="0.2">
      <c r="A231" s="742"/>
      <c r="B231" s="649"/>
      <c r="C231" s="649"/>
      <c r="D231" s="743"/>
      <c r="E231" s="743"/>
      <c r="F231" s="728"/>
      <c r="G231" s="729"/>
      <c r="H231" s="729"/>
      <c r="I231" s="729"/>
      <c r="J231" s="729"/>
      <c r="K231" s="729"/>
      <c r="L231" s="729"/>
      <c r="M231" s="729"/>
      <c r="N231" s="729"/>
      <c r="O231" s="729"/>
      <c r="P231" s="729"/>
      <c r="Q231" s="729"/>
      <c r="R231" s="729"/>
      <c r="S231" s="730">
        <f t="shared" si="21"/>
        <v>0</v>
      </c>
      <c r="T231" s="749">
        <f t="shared" ca="1" si="17"/>
        <v>-44382</v>
      </c>
      <c r="U231" s="732"/>
      <c r="V231" s="733"/>
      <c r="W231" s="734"/>
      <c r="X231" s="735"/>
      <c r="Y231" s="735"/>
      <c r="Z231" s="735"/>
      <c r="AA231" s="735"/>
      <c r="AB231" s="735"/>
      <c r="AC231" s="740"/>
      <c r="AD231" s="736"/>
      <c r="AE231" s="750">
        <f ca="1">TODAY()-DATE(YEAR(AD231)+6,MONTH(AD231),DAY(AD231))</f>
        <v>42190</v>
      </c>
      <c r="AF231" s="649"/>
    </row>
    <row r="232" spans="1:32" s="745" customFormat="1" x14ac:dyDescent="0.2">
      <c r="A232" s="742"/>
      <c r="B232" s="649"/>
      <c r="C232" s="649"/>
      <c r="D232" s="743"/>
      <c r="E232" s="743"/>
      <c r="F232" s="728"/>
      <c r="G232" s="729"/>
      <c r="H232" s="729"/>
      <c r="I232" s="729"/>
      <c r="J232" s="729"/>
      <c r="K232" s="729"/>
      <c r="L232" s="729"/>
      <c r="M232" s="729"/>
      <c r="N232" s="729"/>
      <c r="O232" s="729"/>
      <c r="P232" s="729"/>
      <c r="Q232" s="729"/>
      <c r="R232" s="729"/>
      <c r="S232" s="730">
        <f t="shared" si="21"/>
        <v>0</v>
      </c>
      <c r="T232" s="749">
        <f t="shared" ca="1" si="17"/>
        <v>-44382</v>
      </c>
      <c r="U232" s="732"/>
      <c r="V232" s="733"/>
      <c r="W232" s="734"/>
      <c r="X232" s="735"/>
      <c r="Y232" s="735"/>
      <c r="Z232" s="735"/>
      <c r="AA232" s="735"/>
      <c r="AB232" s="735"/>
      <c r="AC232" s="740"/>
      <c r="AD232" s="736"/>
      <c r="AE232" s="750">
        <f ca="1">TODAY()-DATE(YEAR(AD232)+6,MONTH(AD232),DAY(AD232))</f>
        <v>42190</v>
      </c>
      <c r="AF232" s="649"/>
    </row>
    <row r="233" spans="1:32" s="745" customFormat="1" x14ac:dyDescent="0.2">
      <c r="A233" s="742"/>
      <c r="B233" s="649"/>
      <c r="C233" s="649"/>
      <c r="D233" s="743"/>
      <c r="E233" s="743"/>
      <c r="F233" s="728"/>
      <c r="G233" s="729"/>
      <c r="H233" s="729"/>
      <c r="I233" s="729"/>
      <c r="J233" s="729"/>
      <c r="K233" s="729"/>
      <c r="L233" s="729"/>
      <c r="M233" s="729"/>
      <c r="N233" s="729"/>
      <c r="O233" s="729"/>
      <c r="P233" s="729"/>
      <c r="Q233" s="729"/>
      <c r="R233" s="729"/>
      <c r="S233" s="730">
        <f t="shared" si="21"/>
        <v>0</v>
      </c>
      <c r="T233" s="749">
        <f t="shared" ca="1" si="17"/>
        <v>-44382</v>
      </c>
      <c r="U233" s="732"/>
      <c r="V233" s="733"/>
      <c r="W233" s="734"/>
      <c r="X233" s="735"/>
      <c r="Y233" s="735"/>
      <c r="Z233" s="735"/>
      <c r="AA233" s="735"/>
      <c r="AB233" s="735"/>
      <c r="AC233" s="740"/>
      <c r="AD233" s="736"/>
      <c r="AE233" s="750">
        <f ca="1">TODAY()-DATE(YEAR(AD233)+6,MONTH(AD233),DAY(AD233))</f>
        <v>42190</v>
      </c>
      <c r="AF233" s="649"/>
    </row>
    <row r="234" spans="1:32" s="745" customFormat="1" x14ac:dyDescent="0.2">
      <c r="A234" s="742"/>
      <c r="B234" s="649"/>
      <c r="C234" s="649"/>
      <c r="D234" s="743"/>
      <c r="E234" s="743"/>
      <c r="F234" s="728"/>
      <c r="G234" s="729"/>
      <c r="H234" s="729"/>
      <c r="I234" s="729"/>
      <c r="J234" s="729"/>
      <c r="K234" s="729"/>
      <c r="L234" s="729"/>
      <c r="M234" s="729"/>
      <c r="N234" s="729"/>
      <c r="O234" s="729"/>
      <c r="P234" s="729"/>
      <c r="Q234" s="729"/>
      <c r="R234" s="729"/>
      <c r="S234" s="730">
        <f t="shared" ref="S234:S243" si="22">SUM(G234:R234)</f>
        <v>0</v>
      </c>
      <c r="T234" s="749">
        <f t="shared" ca="1" si="17"/>
        <v>-44382</v>
      </c>
      <c r="U234" s="732"/>
      <c r="V234" s="733"/>
      <c r="W234" s="734"/>
      <c r="X234" s="735"/>
      <c r="Y234" s="735"/>
      <c r="Z234" s="735"/>
      <c r="AA234" s="735"/>
      <c r="AB234" s="735"/>
      <c r="AC234" s="740"/>
      <c r="AD234" s="736"/>
      <c r="AE234" s="750">
        <f t="shared" ref="AE234:AE243" ca="1" si="23">TODAY()-DATE(YEAR(AD234)+6,MONTH(AD234),DAY(AD234))</f>
        <v>42190</v>
      </c>
      <c r="AF234" s="649"/>
    </row>
    <row r="235" spans="1:32" s="745" customFormat="1" x14ac:dyDescent="0.2">
      <c r="A235" s="742"/>
      <c r="B235" s="649"/>
      <c r="C235" s="649"/>
      <c r="D235" s="743"/>
      <c r="E235" s="743"/>
      <c r="F235" s="728"/>
      <c r="G235" s="729"/>
      <c r="H235" s="729"/>
      <c r="I235" s="729"/>
      <c r="J235" s="729"/>
      <c r="K235" s="729"/>
      <c r="L235" s="729"/>
      <c r="M235" s="729"/>
      <c r="N235" s="729"/>
      <c r="O235" s="729"/>
      <c r="P235" s="729"/>
      <c r="Q235" s="729"/>
      <c r="R235" s="729"/>
      <c r="S235" s="730">
        <f t="shared" si="22"/>
        <v>0</v>
      </c>
      <c r="T235" s="749">
        <f t="shared" ca="1" si="17"/>
        <v>-44382</v>
      </c>
      <c r="U235" s="732"/>
      <c r="V235" s="733"/>
      <c r="W235" s="734"/>
      <c r="X235" s="735"/>
      <c r="Y235" s="735"/>
      <c r="Z235" s="735"/>
      <c r="AA235" s="735"/>
      <c r="AB235" s="735"/>
      <c r="AC235" s="740"/>
      <c r="AD235" s="736"/>
      <c r="AE235" s="750">
        <f t="shared" ca="1" si="23"/>
        <v>42190</v>
      </c>
      <c r="AF235" s="649"/>
    </row>
    <row r="236" spans="1:32" s="745" customFormat="1" x14ac:dyDescent="0.2">
      <c r="A236" s="742"/>
      <c r="B236" s="649"/>
      <c r="C236" s="649"/>
      <c r="D236" s="743"/>
      <c r="E236" s="743"/>
      <c r="F236" s="728"/>
      <c r="G236" s="729"/>
      <c r="H236" s="729"/>
      <c r="I236" s="729"/>
      <c r="J236" s="729"/>
      <c r="K236" s="729"/>
      <c r="L236" s="729"/>
      <c r="M236" s="729"/>
      <c r="N236" s="729"/>
      <c r="O236" s="729"/>
      <c r="P236" s="729"/>
      <c r="Q236" s="729"/>
      <c r="R236" s="729"/>
      <c r="S236" s="730">
        <f t="shared" si="22"/>
        <v>0</v>
      </c>
      <c r="T236" s="749">
        <f t="shared" ca="1" si="17"/>
        <v>-44382</v>
      </c>
      <c r="U236" s="732"/>
      <c r="V236" s="733"/>
      <c r="W236" s="734"/>
      <c r="X236" s="735"/>
      <c r="Y236" s="735"/>
      <c r="Z236" s="735"/>
      <c r="AA236" s="735"/>
      <c r="AB236" s="735"/>
      <c r="AC236" s="740"/>
      <c r="AD236" s="736"/>
      <c r="AE236" s="750">
        <f t="shared" ca="1" si="23"/>
        <v>42190</v>
      </c>
      <c r="AF236" s="649"/>
    </row>
    <row r="237" spans="1:32" s="745" customFormat="1" x14ac:dyDescent="0.2">
      <c r="A237" s="742"/>
      <c r="B237" s="649"/>
      <c r="C237" s="649"/>
      <c r="D237" s="743"/>
      <c r="E237" s="743"/>
      <c r="F237" s="728"/>
      <c r="G237" s="729"/>
      <c r="H237" s="729"/>
      <c r="I237" s="729"/>
      <c r="J237" s="729"/>
      <c r="K237" s="729"/>
      <c r="L237" s="729"/>
      <c r="M237" s="729"/>
      <c r="N237" s="729"/>
      <c r="O237" s="729"/>
      <c r="P237" s="729"/>
      <c r="Q237" s="729"/>
      <c r="R237" s="729"/>
      <c r="S237" s="730">
        <f t="shared" si="22"/>
        <v>0</v>
      </c>
      <c r="T237" s="749">
        <f t="shared" ca="1" si="17"/>
        <v>-44382</v>
      </c>
      <c r="U237" s="732"/>
      <c r="V237" s="733"/>
      <c r="W237" s="734"/>
      <c r="X237" s="735"/>
      <c r="Y237" s="735"/>
      <c r="Z237" s="735"/>
      <c r="AA237" s="735"/>
      <c r="AB237" s="735"/>
      <c r="AC237" s="740"/>
      <c r="AD237" s="736"/>
      <c r="AE237" s="750">
        <f t="shared" ca="1" si="23"/>
        <v>42190</v>
      </c>
      <c r="AF237" s="649"/>
    </row>
    <row r="238" spans="1:32" s="745" customFormat="1" x14ac:dyDescent="0.2">
      <c r="A238" s="742"/>
      <c r="B238" s="649"/>
      <c r="C238" s="649"/>
      <c r="D238" s="743"/>
      <c r="E238" s="743"/>
      <c r="F238" s="728"/>
      <c r="G238" s="729"/>
      <c r="H238" s="729"/>
      <c r="I238" s="729"/>
      <c r="J238" s="729"/>
      <c r="K238" s="729"/>
      <c r="L238" s="729"/>
      <c r="M238" s="729"/>
      <c r="N238" s="729"/>
      <c r="O238" s="729"/>
      <c r="P238" s="729"/>
      <c r="Q238" s="729"/>
      <c r="R238" s="729"/>
      <c r="S238" s="730">
        <f t="shared" si="22"/>
        <v>0</v>
      </c>
      <c r="T238" s="749">
        <f t="shared" ca="1" si="17"/>
        <v>-44382</v>
      </c>
      <c r="U238" s="732"/>
      <c r="V238" s="733"/>
      <c r="W238" s="734"/>
      <c r="X238" s="735"/>
      <c r="Y238" s="735"/>
      <c r="Z238" s="735"/>
      <c r="AA238" s="735"/>
      <c r="AB238" s="735"/>
      <c r="AC238" s="740"/>
      <c r="AD238" s="736"/>
      <c r="AE238" s="750">
        <f t="shared" ca="1" si="23"/>
        <v>42190</v>
      </c>
      <c r="AF238" s="649"/>
    </row>
    <row r="239" spans="1:32" s="745" customFormat="1" x14ac:dyDescent="0.2">
      <c r="A239" s="742"/>
      <c r="B239" s="649"/>
      <c r="C239" s="649"/>
      <c r="D239" s="743"/>
      <c r="E239" s="743"/>
      <c r="F239" s="728"/>
      <c r="G239" s="729"/>
      <c r="H239" s="729"/>
      <c r="I239" s="729"/>
      <c r="J239" s="729"/>
      <c r="K239" s="729"/>
      <c r="L239" s="729"/>
      <c r="M239" s="729"/>
      <c r="N239" s="729"/>
      <c r="O239" s="729"/>
      <c r="P239" s="729"/>
      <c r="Q239" s="729"/>
      <c r="R239" s="729"/>
      <c r="S239" s="730">
        <f t="shared" si="22"/>
        <v>0</v>
      </c>
      <c r="T239" s="749">
        <f t="shared" ca="1" si="17"/>
        <v>-44382</v>
      </c>
      <c r="U239" s="732"/>
      <c r="V239" s="733"/>
      <c r="W239" s="734"/>
      <c r="X239" s="735"/>
      <c r="Y239" s="735"/>
      <c r="Z239" s="735"/>
      <c r="AA239" s="735"/>
      <c r="AB239" s="735"/>
      <c r="AC239" s="740"/>
      <c r="AD239" s="736"/>
      <c r="AE239" s="750">
        <f t="shared" ca="1" si="23"/>
        <v>42190</v>
      </c>
      <c r="AF239" s="649"/>
    </row>
    <row r="240" spans="1:32" s="745" customFormat="1" x14ac:dyDescent="0.2">
      <c r="A240" s="742"/>
      <c r="B240" s="649"/>
      <c r="C240" s="649"/>
      <c r="D240" s="743"/>
      <c r="E240" s="743"/>
      <c r="F240" s="728"/>
      <c r="G240" s="729"/>
      <c r="H240" s="729"/>
      <c r="I240" s="729"/>
      <c r="J240" s="729"/>
      <c r="K240" s="729"/>
      <c r="L240" s="729"/>
      <c r="M240" s="729"/>
      <c r="N240" s="729"/>
      <c r="O240" s="729"/>
      <c r="P240" s="729"/>
      <c r="Q240" s="729"/>
      <c r="R240" s="729"/>
      <c r="S240" s="730">
        <f t="shared" si="22"/>
        <v>0</v>
      </c>
      <c r="T240" s="749">
        <f t="shared" ca="1" si="17"/>
        <v>-44382</v>
      </c>
      <c r="U240" s="732"/>
      <c r="V240" s="733"/>
      <c r="W240" s="734"/>
      <c r="X240" s="735"/>
      <c r="Y240" s="735"/>
      <c r="Z240" s="735"/>
      <c r="AA240" s="735"/>
      <c r="AB240" s="735"/>
      <c r="AC240" s="740"/>
      <c r="AD240" s="736"/>
      <c r="AE240" s="750">
        <f t="shared" ca="1" si="23"/>
        <v>42190</v>
      </c>
      <c r="AF240" s="649"/>
    </row>
    <row r="241" spans="1:32" s="745" customFormat="1" x14ac:dyDescent="0.2">
      <c r="A241" s="742"/>
      <c r="B241" s="649"/>
      <c r="C241" s="649"/>
      <c r="D241" s="743"/>
      <c r="E241" s="743"/>
      <c r="F241" s="728"/>
      <c r="G241" s="729"/>
      <c r="H241" s="729"/>
      <c r="I241" s="729"/>
      <c r="J241" s="729"/>
      <c r="K241" s="729"/>
      <c r="L241" s="729"/>
      <c r="M241" s="729"/>
      <c r="N241" s="729"/>
      <c r="O241" s="729"/>
      <c r="P241" s="729"/>
      <c r="Q241" s="729"/>
      <c r="R241" s="729"/>
      <c r="S241" s="730">
        <f t="shared" si="22"/>
        <v>0</v>
      </c>
      <c r="T241" s="749">
        <f t="shared" ca="1" si="17"/>
        <v>-44382</v>
      </c>
      <c r="U241" s="732"/>
      <c r="V241" s="733"/>
      <c r="W241" s="734"/>
      <c r="X241" s="735"/>
      <c r="Y241" s="735"/>
      <c r="Z241" s="735"/>
      <c r="AA241" s="735"/>
      <c r="AB241" s="735"/>
      <c r="AC241" s="740"/>
      <c r="AD241" s="736"/>
      <c r="AE241" s="750">
        <f t="shared" ca="1" si="23"/>
        <v>42190</v>
      </c>
      <c r="AF241" s="649"/>
    </row>
    <row r="242" spans="1:32" s="745" customFormat="1" x14ac:dyDescent="0.2">
      <c r="A242" s="742"/>
      <c r="B242" s="649"/>
      <c r="C242" s="649"/>
      <c r="D242" s="743"/>
      <c r="E242" s="743"/>
      <c r="F242" s="728"/>
      <c r="G242" s="729"/>
      <c r="H242" s="729"/>
      <c r="I242" s="729"/>
      <c r="J242" s="729"/>
      <c r="K242" s="729"/>
      <c r="L242" s="729"/>
      <c r="M242" s="729"/>
      <c r="N242" s="729"/>
      <c r="O242" s="729"/>
      <c r="P242" s="729"/>
      <c r="Q242" s="729"/>
      <c r="R242" s="729"/>
      <c r="S242" s="730">
        <f t="shared" si="22"/>
        <v>0</v>
      </c>
      <c r="T242" s="749">
        <f t="shared" ca="1" si="17"/>
        <v>-44382</v>
      </c>
      <c r="U242" s="732"/>
      <c r="V242" s="733"/>
      <c r="W242" s="734"/>
      <c r="X242" s="735"/>
      <c r="Y242" s="735"/>
      <c r="Z242" s="735"/>
      <c r="AA242" s="735"/>
      <c r="AB242" s="735"/>
      <c r="AC242" s="740"/>
      <c r="AD242" s="736"/>
      <c r="AE242" s="750">
        <f t="shared" ca="1" si="23"/>
        <v>42190</v>
      </c>
      <c r="AF242" s="649"/>
    </row>
    <row r="243" spans="1:32" s="745" customFormat="1" x14ac:dyDescent="0.2">
      <c r="A243" s="742"/>
      <c r="B243" s="649"/>
      <c r="C243" s="649"/>
      <c r="D243" s="743"/>
      <c r="E243" s="743"/>
      <c r="F243" s="728"/>
      <c r="G243" s="729"/>
      <c r="H243" s="729"/>
      <c r="I243" s="729"/>
      <c r="J243" s="729"/>
      <c r="K243" s="729"/>
      <c r="L243" s="729"/>
      <c r="M243" s="729"/>
      <c r="N243" s="729"/>
      <c r="O243" s="729"/>
      <c r="P243" s="729"/>
      <c r="Q243" s="729"/>
      <c r="R243" s="729"/>
      <c r="S243" s="730">
        <f t="shared" si="22"/>
        <v>0</v>
      </c>
      <c r="T243" s="749">
        <f t="shared" ca="1" si="17"/>
        <v>-44382</v>
      </c>
      <c r="U243" s="732"/>
      <c r="V243" s="733"/>
      <c r="W243" s="734"/>
      <c r="X243" s="735"/>
      <c r="Y243" s="735"/>
      <c r="Z243" s="735"/>
      <c r="AA243" s="735"/>
      <c r="AB243" s="735"/>
      <c r="AC243" s="740"/>
      <c r="AD243" s="736"/>
      <c r="AE243" s="750">
        <f t="shared" ca="1" si="23"/>
        <v>42190</v>
      </c>
      <c r="AF243" s="649"/>
    </row>
    <row r="244" spans="1:32" s="745" customFormat="1" x14ac:dyDescent="0.2">
      <c r="A244" s="742"/>
      <c r="B244" s="649"/>
      <c r="C244" s="649"/>
      <c r="D244" s="743"/>
      <c r="E244" s="743"/>
      <c r="F244" s="728"/>
      <c r="G244" s="729"/>
      <c r="H244" s="729"/>
      <c r="I244" s="729"/>
      <c r="J244" s="729"/>
      <c r="K244" s="729"/>
      <c r="L244" s="729"/>
      <c r="M244" s="729"/>
      <c r="N244" s="729"/>
      <c r="O244" s="729"/>
      <c r="P244" s="729"/>
      <c r="Q244" s="729"/>
      <c r="R244" s="729"/>
      <c r="S244" s="730">
        <f>SUM(G244:R244)</f>
        <v>0</v>
      </c>
      <c r="T244" s="749">
        <f t="shared" ca="1" si="17"/>
        <v>-44382</v>
      </c>
      <c r="U244" s="732"/>
      <c r="V244" s="733"/>
      <c r="W244" s="734"/>
      <c r="X244" s="735"/>
      <c r="Y244" s="735"/>
      <c r="Z244" s="735"/>
      <c r="AA244" s="735"/>
      <c r="AB244" s="735"/>
      <c r="AC244" s="740"/>
      <c r="AD244" s="736"/>
      <c r="AE244" s="750">
        <f ca="1">TODAY()-DATE(YEAR(AD244)+6,MONTH(AD244),DAY(AD244))</f>
        <v>42190</v>
      </c>
      <c r="AF244" s="649"/>
    </row>
    <row r="245" spans="1:32" s="745" customFormat="1" x14ac:dyDescent="0.2">
      <c r="A245" s="742"/>
      <c r="B245" s="649"/>
      <c r="C245" s="649"/>
      <c r="D245" s="743"/>
      <c r="E245" s="743"/>
      <c r="F245" s="728"/>
      <c r="G245" s="729"/>
      <c r="H245" s="729"/>
      <c r="I245" s="729"/>
      <c r="J245" s="729"/>
      <c r="K245" s="729"/>
      <c r="L245" s="729"/>
      <c r="M245" s="729"/>
      <c r="N245" s="729"/>
      <c r="O245" s="729"/>
      <c r="P245" s="729"/>
      <c r="Q245" s="729"/>
      <c r="R245" s="729"/>
      <c r="S245" s="730">
        <f>SUM(G245:R245)</f>
        <v>0</v>
      </c>
      <c r="T245" s="749">
        <f t="shared" ca="1" si="17"/>
        <v>-44382</v>
      </c>
      <c r="U245" s="732"/>
      <c r="V245" s="733"/>
      <c r="W245" s="734"/>
      <c r="X245" s="735"/>
      <c r="Y245" s="735"/>
      <c r="Z245" s="735"/>
      <c r="AA245" s="735"/>
      <c r="AB245" s="735"/>
      <c r="AC245" s="740"/>
      <c r="AD245" s="736"/>
      <c r="AE245" s="750">
        <f ca="1">TODAY()-DATE(YEAR(AD245)+6,MONTH(AD245),DAY(AD245))</f>
        <v>42190</v>
      </c>
      <c r="AF245" s="649"/>
    </row>
    <row r="246" spans="1:32" s="745" customFormat="1" x14ac:dyDescent="0.2">
      <c r="A246" s="742"/>
      <c r="B246" s="649"/>
      <c r="C246" s="649"/>
      <c r="D246" s="743"/>
      <c r="E246" s="743"/>
      <c r="F246" s="728"/>
      <c r="G246" s="729"/>
      <c r="H246" s="729"/>
      <c r="I246" s="729"/>
      <c r="J246" s="729"/>
      <c r="K246" s="729"/>
      <c r="L246" s="729"/>
      <c r="M246" s="729"/>
      <c r="N246" s="729"/>
      <c r="O246" s="729"/>
      <c r="P246" s="729"/>
      <c r="Q246" s="729"/>
      <c r="R246" s="729"/>
      <c r="S246" s="730">
        <f>SUM(G246:R246)</f>
        <v>0</v>
      </c>
      <c r="T246" s="749">
        <f t="shared" ca="1" si="17"/>
        <v>-44382</v>
      </c>
      <c r="U246" s="732"/>
      <c r="V246" s="733"/>
      <c r="W246" s="734"/>
      <c r="X246" s="735"/>
      <c r="Y246" s="735"/>
      <c r="Z246" s="735"/>
      <c r="AA246" s="735"/>
      <c r="AB246" s="735"/>
      <c r="AC246" s="740"/>
      <c r="AD246" s="736"/>
      <c r="AE246" s="750">
        <f ca="1">TODAY()-DATE(YEAR(AD246)+6,MONTH(AD246),DAY(AD246))</f>
        <v>42190</v>
      </c>
      <c r="AF246" s="649"/>
    </row>
    <row r="247" spans="1:32" s="745" customFormat="1" x14ac:dyDescent="0.2">
      <c r="A247" s="742"/>
      <c r="B247" s="649"/>
      <c r="C247" s="649"/>
      <c r="D247" s="743"/>
      <c r="E247" s="743"/>
      <c r="F247" s="728"/>
      <c r="G247" s="729"/>
      <c r="H247" s="729"/>
      <c r="I247" s="729"/>
      <c r="J247" s="729"/>
      <c r="K247" s="729"/>
      <c r="L247" s="729"/>
      <c r="M247" s="729"/>
      <c r="N247" s="729"/>
      <c r="O247" s="729"/>
      <c r="P247" s="729"/>
      <c r="Q247" s="729"/>
      <c r="R247" s="729"/>
      <c r="S247" s="730">
        <f>SUM(G247:R247)</f>
        <v>0</v>
      </c>
      <c r="T247" s="749">
        <f t="shared" ca="1" si="17"/>
        <v>-44382</v>
      </c>
      <c r="U247" s="732"/>
      <c r="V247" s="733"/>
      <c r="W247" s="734"/>
      <c r="X247" s="735"/>
      <c r="Y247" s="735"/>
      <c r="Z247" s="735"/>
      <c r="AA247" s="735"/>
      <c r="AB247" s="735"/>
      <c r="AC247" s="740"/>
      <c r="AD247" s="736"/>
      <c r="AE247" s="750">
        <f ca="1">TODAY()-DATE(YEAR(AD247)+6,MONTH(AD247),DAY(AD247))</f>
        <v>42190</v>
      </c>
      <c r="AF247" s="649"/>
    </row>
    <row r="248" spans="1:32" x14ac:dyDescent="0.2">
      <c r="D248" s="752" t="s">
        <v>1083</v>
      </c>
      <c r="E248" s="752" t="s">
        <v>1075</v>
      </c>
    </row>
    <row r="249" spans="1:32" x14ac:dyDescent="0.2">
      <c r="D249" s="752" t="s">
        <v>1084</v>
      </c>
      <c r="E249" s="753" t="s">
        <v>1076</v>
      </c>
    </row>
    <row r="250" spans="1:32" x14ac:dyDescent="0.2">
      <c r="D250" s="752" t="s">
        <v>1085</v>
      </c>
      <c r="E250" s="753" t="s">
        <v>1077</v>
      </c>
    </row>
    <row r="251" spans="1:32" x14ac:dyDescent="0.2">
      <c r="D251" s="754" t="s">
        <v>1086</v>
      </c>
      <c r="E251" s="753" t="s">
        <v>1078</v>
      </c>
    </row>
    <row r="252" spans="1:32" x14ac:dyDescent="0.2">
      <c r="D252" s="754" t="s">
        <v>1072</v>
      </c>
      <c r="E252" s="753" t="s">
        <v>1079</v>
      </c>
    </row>
    <row r="253" spans="1:32" x14ac:dyDescent="0.2">
      <c r="D253" s="748" t="s">
        <v>1071</v>
      </c>
      <c r="E253" s="753" t="s">
        <v>1080</v>
      </c>
    </row>
    <row r="254" spans="1:32" x14ac:dyDescent="0.2">
      <c r="D254" s="754" t="s">
        <v>1070</v>
      </c>
      <c r="E254" s="752" t="s">
        <v>1081</v>
      </c>
    </row>
    <row r="255" spans="1:32" x14ac:dyDescent="0.2">
      <c r="E255" s="755" t="s">
        <v>1082</v>
      </c>
    </row>
    <row r="256" spans="1:32" x14ac:dyDescent="0.2">
      <c r="E256" s="753" t="s">
        <v>1100</v>
      </c>
    </row>
    <row r="257" spans="5:5" x14ac:dyDescent="0.2">
      <c r="E257" s="753" t="s">
        <v>1860</v>
      </c>
    </row>
  </sheetData>
  <mergeCells count="16">
    <mergeCell ref="V3:W3"/>
    <mergeCell ref="AF4:AF5"/>
    <mergeCell ref="A4:A5"/>
    <mergeCell ref="B4:B5"/>
    <mergeCell ref="C4:C5"/>
    <mergeCell ref="D4:D5"/>
    <mergeCell ref="E4:E5"/>
    <mergeCell ref="F4:F5"/>
    <mergeCell ref="G4:S4"/>
    <mergeCell ref="T4:T5"/>
    <mergeCell ref="V4:V5"/>
    <mergeCell ref="W4:W5"/>
    <mergeCell ref="X4:AB4"/>
    <mergeCell ref="AC4:AC5"/>
    <mergeCell ref="AD4:AD5"/>
    <mergeCell ref="U4:U5"/>
  </mergeCells>
  <pageMargins left="0.511811024" right="0.511811024" top="0.78740157499999996" bottom="0.78740157499999996" header="0.31496062000000002" footer="0.31496062000000002"/>
  <pageSetup paperSize="9" scale="19" fitToHeight="0" orientation="portrait" r:id="rId1"/>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J233"/>
  <sheetViews>
    <sheetView zoomScale="118" zoomScaleNormal="118" workbookViewId="0">
      <pane ySplit="5" topLeftCell="A194" activePane="bottomLeft" state="frozen"/>
      <selection pane="bottomLeft" activeCell="A161" sqref="A161"/>
    </sheetView>
  </sheetViews>
  <sheetFormatPr defaultRowHeight="12.75" x14ac:dyDescent="0.2"/>
  <cols>
    <col min="1" max="1" width="17.5703125" style="712" bestFit="1" customWidth="1"/>
    <col min="2" max="2" width="11.7109375" style="712" customWidth="1"/>
    <col min="3" max="3" width="16.85546875" style="712" bestFit="1" customWidth="1"/>
    <col min="4" max="4" width="29.140625" style="712" customWidth="1"/>
    <col min="5" max="5" width="42.140625" style="712" customWidth="1"/>
    <col min="6" max="6" width="18.5703125" style="712" bestFit="1" customWidth="1"/>
    <col min="7" max="7" width="15.5703125" style="712" bestFit="1" customWidth="1"/>
    <col min="8" max="8" width="14.42578125" style="712" bestFit="1" customWidth="1"/>
    <col min="9" max="14" width="15.5703125" style="712" bestFit="1" customWidth="1"/>
    <col min="15" max="15" width="14.85546875" style="712" bestFit="1" customWidth="1"/>
    <col min="16" max="16" width="14.140625" style="712" bestFit="1" customWidth="1"/>
    <col min="17" max="17" width="14.85546875" style="712" bestFit="1" customWidth="1"/>
    <col min="18" max="18" width="14.140625" style="712" bestFit="1" customWidth="1"/>
    <col min="19" max="19" width="18.7109375" style="715" bestFit="1" customWidth="1"/>
    <col min="20" max="20" width="17.5703125" style="712" bestFit="1" customWidth="1"/>
    <col min="21" max="21" width="14" style="712" customWidth="1"/>
    <col min="22" max="22" width="37.140625" style="712" customWidth="1"/>
    <col min="23" max="23" width="19.5703125" style="714" bestFit="1" customWidth="1"/>
    <col min="24" max="25" width="3.28515625" style="712" customWidth="1"/>
    <col min="26" max="26" width="2.85546875" style="712" customWidth="1"/>
    <col min="27" max="27" width="4.28515625" style="712" customWidth="1"/>
    <col min="28" max="28" width="3.140625" style="712" customWidth="1"/>
    <col min="29" max="29" width="14.7109375" style="712" customWidth="1"/>
    <col min="30" max="30" width="12.85546875" style="712" customWidth="1"/>
    <col min="31" max="31" width="15" style="712" bestFit="1" customWidth="1"/>
    <col min="32" max="32" width="9.28515625" style="712" customWidth="1"/>
    <col min="33" max="16384" width="9.140625" style="712"/>
  </cols>
  <sheetData>
    <row r="2" spans="1:36" ht="29.25" customHeight="1" thickBot="1" x14ac:dyDescent="0.25">
      <c r="C2" s="713"/>
      <c r="D2" s="714"/>
      <c r="E2" s="712" t="s">
        <v>1498</v>
      </c>
      <c r="T2" s="716"/>
      <c r="U2" s="716"/>
      <c r="V2" s="716"/>
      <c r="AE2" s="717" t="s">
        <v>0</v>
      </c>
    </row>
    <row r="3" spans="1:36" ht="21" thickBot="1" x14ac:dyDescent="0.25">
      <c r="C3" s="718"/>
      <c r="D3" s="719" t="s">
        <v>1390</v>
      </c>
      <c r="E3" s="712" t="s">
        <v>1499</v>
      </c>
      <c r="T3" s="720"/>
      <c r="U3" s="720"/>
      <c r="V3" s="1021" t="s">
        <v>1588</v>
      </c>
      <c r="W3" s="1021"/>
      <c r="AE3" s="721">
        <f ca="1">TODAY()</f>
        <v>44382</v>
      </c>
    </row>
    <row r="4" spans="1:36" ht="14.25" customHeight="1" x14ac:dyDescent="0.2">
      <c r="A4" s="1012" t="s">
        <v>2</v>
      </c>
      <c r="B4" s="1006" t="s">
        <v>3</v>
      </c>
      <c r="C4" s="1006" t="s">
        <v>4</v>
      </c>
      <c r="D4" s="1006" t="s">
        <v>5</v>
      </c>
      <c r="E4" s="1006" t="s">
        <v>6</v>
      </c>
      <c r="F4" s="1006" t="s">
        <v>7</v>
      </c>
      <c r="G4" s="1020" t="s">
        <v>2282</v>
      </c>
      <c r="H4" s="1020"/>
      <c r="I4" s="1020"/>
      <c r="J4" s="1020"/>
      <c r="K4" s="1020"/>
      <c r="L4" s="1020"/>
      <c r="M4" s="1020"/>
      <c r="N4" s="1020"/>
      <c r="O4" s="1020"/>
      <c r="P4" s="1020"/>
      <c r="Q4" s="1020"/>
      <c r="R4" s="1020"/>
      <c r="S4" s="1020"/>
      <c r="T4" s="1006" t="s">
        <v>241</v>
      </c>
      <c r="U4" s="1008" t="s">
        <v>8</v>
      </c>
      <c r="V4" s="1006" t="s">
        <v>9</v>
      </c>
      <c r="W4" s="1006" t="s">
        <v>10</v>
      </c>
      <c r="X4" s="1018" t="s">
        <v>11</v>
      </c>
      <c r="Y4" s="1018"/>
      <c r="Z4" s="1018"/>
      <c r="AA4" s="1018"/>
      <c r="AB4" s="1018"/>
      <c r="AC4" s="1008" t="s">
        <v>1421</v>
      </c>
      <c r="AD4" s="1002" t="s">
        <v>243</v>
      </c>
      <c r="AE4" s="722" t="s">
        <v>820</v>
      </c>
      <c r="AF4" s="1004" t="s">
        <v>15</v>
      </c>
    </row>
    <row r="5" spans="1:36" ht="39.75" customHeight="1" thickBot="1" x14ac:dyDescent="0.25">
      <c r="A5" s="1013"/>
      <c r="B5" s="1007"/>
      <c r="C5" s="1007"/>
      <c r="D5" s="1007"/>
      <c r="E5" s="1007"/>
      <c r="F5" s="1007"/>
      <c r="G5" s="723" t="s">
        <v>822</v>
      </c>
      <c r="H5" s="723" t="s">
        <v>823</v>
      </c>
      <c r="I5" s="723" t="s">
        <v>824</v>
      </c>
      <c r="J5" s="723" t="s">
        <v>825</v>
      </c>
      <c r="K5" s="723" t="s">
        <v>826</v>
      </c>
      <c r="L5" s="723" t="s">
        <v>827</v>
      </c>
      <c r="M5" s="723" t="s">
        <v>828</v>
      </c>
      <c r="N5" s="723" t="s">
        <v>829</v>
      </c>
      <c r="O5" s="723" t="s">
        <v>830</v>
      </c>
      <c r="P5" s="723" t="s">
        <v>831</v>
      </c>
      <c r="Q5" s="723" t="s">
        <v>832</v>
      </c>
      <c r="R5" s="723" t="s">
        <v>833</v>
      </c>
      <c r="S5" s="723" t="s">
        <v>2285</v>
      </c>
      <c r="T5" s="1007"/>
      <c r="U5" s="1009"/>
      <c r="V5" s="1007"/>
      <c r="W5" s="1007"/>
      <c r="X5" s="724" t="s">
        <v>16</v>
      </c>
      <c r="Y5" s="724" t="s">
        <v>17</v>
      </c>
      <c r="Z5" s="724" t="s">
        <v>18</v>
      </c>
      <c r="AA5" s="724" t="s">
        <v>19</v>
      </c>
      <c r="AB5" s="724" t="s">
        <v>20</v>
      </c>
      <c r="AC5" s="1009"/>
      <c r="AD5" s="1003"/>
      <c r="AE5" s="725" t="s">
        <v>244</v>
      </c>
      <c r="AF5" s="1005"/>
    </row>
    <row r="6" spans="1:36" s="769" customFormat="1" ht="38.25" x14ac:dyDescent="0.2">
      <c r="A6" s="773" t="s">
        <v>23</v>
      </c>
      <c r="B6" s="774" t="s">
        <v>23</v>
      </c>
      <c r="C6" s="773" t="s">
        <v>24</v>
      </c>
      <c r="D6" s="775" t="s">
        <v>303</v>
      </c>
      <c r="E6" s="775" t="s">
        <v>971</v>
      </c>
      <c r="F6" s="801" t="s">
        <v>972</v>
      </c>
      <c r="G6" s="729">
        <v>0</v>
      </c>
      <c r="H6" s="729">
        <v>0</v>
      </c>
      <c r="I6" s="729">
        <v>0</v>
      </c>
      <c r="J6" s="729">
        <v>0</v>
      </c>
      <c r="K6" s="729">
        <v>0</v>
      </c>
      <c r="L6" s="729">
        <v>0</v>
      </c>
      <c r="M6" s="729">
        <v>0</v>
      </c>
      <c r="N6" s="729">
        <v>0</v>
      </c>
      <c r="O6" s="729">
        <v>0</v>
      </c>
      <c r="P6" s="729">
        <v>0</v>
      </c>
      <c r="Q6" s="729">
        <v>0</v>
      </c>
      <c r="R6" s="729">
        <v>0</v>
      </c>
      <c r="S6" s="840">
        <f t="shared" ref="S6:S36" si="0">SUM(G6:R6)</f>
        <v>0</v>
      </c>
      <c r="T6" s="789"/>
      <c r="U6" s="777" t="s">
        <v>233</v>
      </c>
      <c r="V6" s="778" t="s">
        <v>970</v>
      </c>
      <c r="W6" s="843" t="s">
        <v>727</v>
      </c>
      <c r="X6" s="780"/>
      <c r="Y6" s="780"/>
      <c r="Z6" s="780"/>
      <c r="AA6" s="780"/>
      <c r="AB6" s="780"/>
      <c r="AC6" s="781"/>
      <c r="AD6" s="782">
        <v>41954</v>
      </c>
      <c r="AE6" s="783">
        <f ca="1">TODAY()-DATE(YEAR(AD6)+6,MONTH(AD6),DAY(AD6))</f>
        <v>236</v>
      </c>
      <c r="AF6" s="773" t="s">
        <v>1788</v>
      </c>
      <c r="AG6" s="738"/>
      <c r="AH6" s="738"/>
      <c r="AI6" s="738"/>
      <c r="AJ6" s="738"/>
    </row>
    <row r="7" spans="1:36" s="738" customFormat="1" ht="30" customHeight="1" x14ac:dyDescent="0.2">
      <c r="A7" s="726" t="s">
        <v>1065</v>
      </c>
      <c r="B7" s="649" t="s">
        <v>23</v>
      </c>
      <c r="C7" s="649" t="s">
        <v>56</v>
      </c>
      <c r="D7" s="727" t="s">
        <v>1066</v>
      </c>
      <c r="E7" s="727" t="s">
        <v>1067</v>
      </c>
      <c r="F7" s="728" t="s">
        <v>1074</v>
      </c>
      <c r="G7" s="729">
        <v>0</v>
      </c>
      <c r="H7" s="729">
        <v>0</v>
      </c>
      <c r="I7" s="729">
        <v>0</v>
      </c>
      <c r="J7" s="729">
        <v>0</v>
      </c>
      <c r="K7" s="729">
        <v>0</v>
      </c>
      <c r="L7" s="729">
        <v>0</v>
      </c>
      <c r="M7" s="729">
        <v>0</v>
      </c>
      <c r="N7" s="729">
        <v>0</v>
      </c>
      <c r="O7" s="729">
        <v>0</v>
      </c>
      <c r="P7" s="729">
        <v>0</v>
      </c>
      <c r="Q7" s="729">
        <v>0</v>
      </c>
      <c r="R7" s="729">
        <v>0</v>
      </c>
      <c r="S7" s="730">
        <f t="shared" si="0"/>
        <v>0</v>
      </c>
      <c r="T7" s="788"/>
      <c r="U7" s="732" t="s">
        <v>233</v>
      </c>
      <c r="V7" s="739" t="s">
        <v>1068</v>
      </c>
      <c r="W7" s="751" t="s">
        <v>1088</v>
      </c>
      <c r="X7" s="735"/>
      <c r="Y7" s="735"/>
      <c r="Z7" s="735"/>
      <c r="AA7" s="735"/>
      <c r="AB7" s="735"/>
      <c r="AC7" s="740"/>
      <c r="AD7" s="736">
        <v>40998</v>
      </c>
      <c r="AE7" s="737">
        <f ca="1">TODAY()-DATE(YEAR(AD7)+5,MONTH(AD7),DAY(AD7))</f>
        <v>1558</v>
      </c>
      <c r="AF7" s="649" t="s">
        <v>2379</v>
      </c>
    </row>
    <row r="8" spans="1:36" s="738" customFormat="1" ht="38.25" x14ac:dyDescent="0.2">
      <c r="A8" s="741" t="s">
        <v>23</v>
      </c>
      <c r="B8" s="742" t="s">
        <v>23</v>
      </c>
      <c r="C8" s="649" t="s">
        <v>372</v>
      </c>
      <c r="D8" s="743" t="s">
        <v>1022</v>
      </c>
      <c r="E8" s="727" t="s">
        <v>968</v>
      </c>
      <c r="F8" s="728" t="s">
        <v>972</v>
      </c>
      <c r="G8" s="729">
        <v>0</v>
      </c>
      <c r="H8" s="729">
        <v>0</v>
      </c>
      <c r="I8" s="729">
        <v>0</v>
      </c>
      <c r="J8" s="729">
        <v>0</v>
      </c>
      <c r="K8" s="729">
        <v>0</v>
      </c>
      <c r="L8" s="729">
        <v>0</v>
      </c>
      <c r="M8" s="729">
        <v>0</v>
      </c>
      <c r="N8" s="729">
        <v>0</v>
      </c>
      <c r="O8" s="729">
        <v>0</v>
      </c>
      <c r="P8" s="729">
        <v>0</v>
      </c>
      <c r="Q8" s="729">
        <v>0</v>
      </c>
      <c r="R8" s="729">
        <v>0</v>
      </c>
      <c r="S8" s="730">
        <f t="shared" si="0"/>
        <v>0</v>
      </c>
      <c r="T8" s="788"/>
      <c r="U8" s="732" t="s">
        <v>233</v>
      </c>
      <c r="V8" s="739" t="s">
        <v>969</v>
      </c>
      <c r="W8" s="844" t="s">
        <v>1014</v>
      </c>
      <c r="X8" s="735"/>
      <c r="Y8" s="735"/>
      <c r="Z8" s="735"/>
      <c r="AA8" s="735"/>
      <c r="AB8" s="735"/>
      <c r="AC8" s="740"/>
      <c r="AD8" s="736">
        <v>36819</v>
      </c>
      <c r="AE8" s="737">
        <f ca="1">TODAY()-DATE(YEAR(AD8)+5,MONTH(AD8),DAY(AD8))</f>
        <v>5737</v>
      </c>
      <c r="AF8" s="741" t="s">
        <v>54</v>
      </c>
    </row>
    <row r="9" spans="1:36" s="745" customFormat="1" ht="24.75" customHeight="1" x14ac:dyDescent="0.2">
      <c r="A9" s="649" t="s">
        <v>215</v>
      </c>
      <c r="B9" s="649" t="s">
        <v>23</v>
      </c>
      <c r="C9" s="649" t="s">
        <v>24</v>
      </c>
      <c r="D9" s="743" t="s">
        <v>216</v>
      </c>
      <c r="E9" s="743" t="s">
        <v>1389</v>
      </c>
      <c r="F9" s="728" t="s">
        <v>375</v>
      </c>
      <c r="G9" s="729">
        <v>885.5</v>
      </c>
      <c r="H9" s="729">
        <f>799.7+543.4</f>
        <v>1343.1</v>
      </c>
      <c r="I9" s="729">
        <v>650.76</v>
      </c>
      <c r="J9" s="729">
        <v>0</v>
      </c>
      <c r="K9" s="729">
        <f>761.2+393.8</f>
        <v>1155</v>
      </c>
      <c r="L9" s="729">
        <v>872.63</v>
      </c>
      <c r="M9" s="729">
        <v>619.29999999999995</v>
      </c>
      <c r="N9" s="729">
        <v>998.8</v>
      </c>
      <c r="O9" s="729">
        <v>0</v>
      </c>
      <c r="P9" s="729">
        <v>1366.04</v>
      </c>
      <c r="Q9" s="729">
        <v>2075.2399999999998</v>
      </c>
      <c r="R9" s="729">
        <f>2088+2638.72</f>
        <v>4726.7199999999993</v>
      </c>
      <c r="S9" s="730">
        <f>SUM(G9:R9)</f>
        <v>14693.089999999998</v>
      </c>
      <c r="T9" s="731">
        <f ca="1">U9-$AE$3</f>
        <v>-1353</v>
      </c>
      <c r="U9" s="732">
        <v>43029</v>
      </c>
      <c r="V9" s="739" t="s">
        <v>1157</v>
      </c>
      <c r="W9" s="751" t="s">
        <v>757</v>
      </c>
      <c r="X9" s="735"/>
      <c r="Y9" s="735"/>
      <c r="Z9" s="735"/>
      <c r="AA9" s="735"/>
      <c r="AB9" s="735"/>
      <c r="AC9" s="740">
        <v>42970</v>
      </c>
      <c r="AD9" s="736">
        <v>41204</v>
      </c>
      <c r="AE9" s="737">
        <f ca="1">TODAY()-DATE(YEAR(AD9)+6,MONTH(AD9),DAY(AD9))</f>
        <v>987</v>
      </c>
      <c r="AF9" s="649" t="s">
        <v>2313</v>
      </c>
    </row>
    <row r="10" spans="1:36" s="738" customFormat="1" ht="38.25" x14ac:dyDescent="0.2">
      <c r="A10" s="746" t="s">
        <v>1158</v>
      </c>
      <c r="B10" s="649" t="s">
        <v>590</v>
      </c>
      <c r="C10" s="649"/>
      <c r="D10" s="743" t="s">
        <v>1423</v>
      </c>
      <c r="E10" s="743" t="s">
        <v>1160</v>
      </c>
      <c r="F10" s="728">
        <v>13598.16</v>
      </c>
      <c r="G10" s="729">
        <f>13.13+13.69+63.75+3235.29</f>
        <v>3325.86</v>
      </c>
      <c r="H10" s="729">
        <f>12.71+12.71+15.84+2883.33</f>
        <v>2924.59</v>
      </c>
      <c r="I10" s="729">
        <f>3480.73+12.71+12.71+12.71</f>
        <v>3518.86</v>
      </c>
      <c r="J10" s="729">
        <f>12.71+12.71+3385.57</f>
        <v>3410.9900000000002</v>
      </c>
      <c r="K10" s="729">
        <v>2682.01</v>
      </c>
      <c r="L10" s="729">
        <f>25.81+26.09+2395.29</f>
        <v>2447.19</v>
      </c>
      <c r="M10" s="729">
        <v>0</v>
      </c>
      <c r="N10" s="729">
        <f>2403.28+2881.8</f>
        <v>5285.08</v>
      </c>
      <c r="O10" s="839">
        <v>2969.46</v>
      </c>
      <c r="P10" s="729">
        <v>3527.8</v>
      </c>
      <c r="Q10" s="729">
        <v>3071.8</v>
      </c>
      <c r="R10" s="729">
        <v>3204.8</v>
      </c>
      <c r="S10" s="730">
        <f t="shared" si="0"/>
        <v>36368.44</v>
      </c>
      <c r="T10" s="731">
        <f ca="1">U10-$AE$3</f>
        <v>-1005</v>
      </c>
      <c r="U10" s="732">
        <v>43377</v>
      </c>
      <c r="V10" s="739" t="s">
        <v>2085</v>
      </c>
      <c r="W10" s="751" t="s">
        <v>1394</v>
      </c>
      <c r="X10" s="735"/>
      <c r="Y10" s="735"/>
      <c r="Z10" s="735"/>
      <c r="AA10" s="735"/>
      <c r="AB10" s="735"/>
      <c r="AC10" s="740">
        <v>43262</v>
      </c>
      <c r="AD10" s="736">
        <v>41186</v>
      </c>
      <c r="AE10" s="737">
        <f t="shared" ref="AE10:AE40" ca="1" si="1">TODAY()-DATE(YEAR(AD10)+6,MONTH(AD10),DAY(AD10))</f>
        <v>1005</v>
      </c>
      <c r="AF10" s="649" t="s">
        <v>2291</v>
      </c>
    </row>
    <row r="11" spans="1:36" s="738" customFormat="1" ht="46.5" customHeight="1" x14ac:dyDescent="0.2">
      <c r="A11" s="746" t="s">
        <v>1332</v>
      </c>
      <c r="B11" s="649" t="s">
        <v>1353</v>
      </c>
      <c r="C11" s="649"/>
      <c r="D11" s="743" t="s">
        <v>194</v>
      </c>
      <c r="E11" s="743" t="s">
        <v>1663</v>
      </c>
      <c r="F11" s="728">
        <v>15600</v>
      </c>
      <c r="G11" s="729">
        <v>0</v>
      </c>
      <c r="H11" s="729">
        <f>1300+1300</f>
        <v>2600</v>
      </c>
      <c r="I11" s="729">
        <v>1300</v>
      </c>
      <c r="J11" s="729">
        <v>1300</v>
      </c>
      <c r="K11" s="729">
        <v>1300</v>
      </c>
      <c r="L11" s="729">
        <v>1300</v>
      </c>
      <c r="M11" s="729">
        <v>1300</v>
      </c>
      <c r="N11" s="729">
        <v>1300</v>
      </c>
      <c r="O11" s="729">
        <v>1300</v>
      </c>
      <c r="P11" s="729">
        <v>1300</v>
      </c>
      <c r="Q11" s="729">
        <v>1300</v>
      </c>
      <c r="R11" s="729">
        <v>1300</v>
      </c>
      <c r="S11" s="730">
        <f t="shared" si="0"/>
        <v>15600</v>
      </c>
      <c r="T11" s="731">
        <f ca="1">U11-$AE$3</f>
        <v>-816</v>
      </c>
      <c r="U11" s="732">
        <v>43566</v>
      </c>
      <c r="V11" s="739" t="s">
        <v>2269</v>
      </c>
      <c r="W11" s="751" t="s">
        <v>734</v>
      </c>
      <c r="X11" s="735"/>
      <c r="Y11" s="735"/>
      <c r="Z11" s="735"/>
      <c r="AA11" s="735"/>
      <c r="AB11" s="735"/>
      <c r="AC11" s="740">
        <v>43451</v>
      </c>
      <c r="AD11" s="736">
        <v>41376</v>
      </c>
      <c r="AE11" s="737">
        <f t="shared" ca="1" si="1"/>
        <v>815</v>
      </c>
      <c r="AF11" s="649" t="s">
        <v>2291</v>
      </c>
    </row>
    <row r="12" spans="1:36" s="820" customFormat="1" ht="38.25" x14ac:dyDescent="0.2">
      <c r="A12" s="805" t="s">
        <v>1457</v>
      </c>
      <c r="B12" s="805" t="s">
        <v>2031</v>
      </c>
      <c r="C12" s="805" t="s">
        <v>56</v>
      </c>
      <c r="D12" s="806" t="s">
        <v>303</v>
      </c>
      <c r="E12" s="806" t="s">
        <v>2029</v>
      </c>
      <c r="F12" s="807">
        <v>45498.96</v>
      </c>
      <c r="G12" s="846">
        <f>2265.99+3734.71+56.87</f>
        <v>6057.57</v>
      </c>
      <c r="H12" s="846">
        <f>2338.02+3734.71+56.87</f>
        <v>6129.5999999999995</v>
      </c>
      <c r="I12" s="846">
        <f>2340.89+3734.71+56.87</f>
        <v>6132.47</v>
      </c>
      <c r="J12" s="846">
        <f>2344.73+3734.71+56.87</f>
        <v>6136.31</v>
      </c>
      <c r="K12" s="846">
        <f>2349.29+3734.71+56.87</f>
        <v>6140.87</v>
      </c>
      <c r="L12" s="846">
        <f>2116.33+32.23</f>
        <v>2148.56</v>
      </c>
      <c r="M12" s="846">
        <v>0</v>
      </c>
      <c r="N12" s="846">
        <v>0</v>
      </c>
      <c r="O12" s="846">
        <v>0</v>
      </c>
      <c r="P12" s="846">
        <v>0</v>
      </c>
      <c r="Q12" s="846">
        <v>0</v>
      </c>
      <c r="R12" s="846">
        <v>0</v>
      </c>
      <c r="S12" s="809">
        <f t="shared" si="0"/>
        <v>32745.38</v>
      </c>
      <c r="T12" s="830">
        <f ca="1">U12-$AE$3</f>
        <v>-1105</v>
      </c>
      <c r="U12" s="811">
        <v>43277</v>
      </c>
      <c r="V12" s="831" t="s">
        <v>2030</v>
      </c>
      <c r="W12" s="813"/>
      <c r="X12" s="814"/>
      <c r="Y12" s="814"/>
      <c r="Z12" s="814"/>
      <c r="AA12" s="814"/>
      <c r="AB12" s="814"/>
      <c r="AC12" s="815">
        <v>43222</v>
      </c>
      <c r="AD12" s="816">
        <v>41451</v>
      </c>
      <c r="AE12" s="832">
        <f t="shared" ca="1" si="1"/>
        <v>740</v>
      </c>
      <c r="AF12" s="805" t="s">
        <v>169</v>
      </c>
    </row>
    <row r="13" spans="1:36" s="748" customFormat="1" ht="51" x14ac:dyDescent="0.2">
      <c r="A13" s="742" t="s">
        <v>1703</v>
      </c>
      <c r="B13" s="649" t="s">
        <v>1428</v>
      </c>
      <c r="C13" s="649" t="s">
        <v>56</v>
      </c>
      <c r="D13" s="743" t="s">
        <v>212</v>
      </c>
      <c r="E13" s="743" t="s">
        <v>1514</v>
      </c>
      <c r="F13" s="728">
        <v>9715.92</v>
      </c>
      <c r="G13" s="729">
        <v>809.66</v>
      </c>
      <c r="H13" s="729">
        <v>809.66</v>
      </c>
      <c r="I13" s="729">
        <v>809.66</v>
      </c>
      <c r="J13" s="729">
        <v>809.66</v>
      </c>
      <c r="K13" s="729">
        <v>0</v>
      </c>
      <c r="L13" s="729">
        <v>0</v>
      </c>
      <c r="M13" s="729">
        <v>0</v>
      </c>
      <c r="N13" s="729">
        <v>0</v>
      </c>
      <c r="O13" s="729">
        <v>0</v>
      </c>
      <c r="P13" s="729">
        <v>0</v>
      </c>
      <c r="Q13" s="729">
        <v>0</v>
      </c>
      <c r="R13" s="729">
        <v>0</v>
      </c>
      <c r="S13" s="730">
        <f t="shared" si="0"/>
        <v>3238.64</v>
      </c>
      <c r="T13" s="731">
        <f t="shared" ref="T13:T41" ca="1" si="2">U13-$AE$3</f>
        <v>-827</v>
      </c>
      <c r="U13" s="732">
        <v>43555</v>
      </c>
      <c r="V13" s="733" t="s">
        <v>2279</v>
      </c>
      <c r="W13" s="751"/>
      <c r="X13" s="735"/>
      <c r="Y13" s="735"/>
      <c r="Z13" s="735"/>
      <c r="AA13" s="735"/>
      <c r="AB13" s="735"/>
      <c r="AC13" s="740">
        <v>43495</v>
      </c>
      <c r="AD13" s="736">
        <v>41729</v>
      </c>
      <c r="AE13" s="737">
        <f t="shared" ca="1" si="1"/>
        <v>461</v>
      </c>
      <c r="AF13" s="649" t="s">
        <v>2291</v>
      </c>
    </row>
    <row r="14" spans="1:36" s="738" customFormat="1" ht="76.5" x14ac:dyDescent="0.2">
      <c r="A14" s="746" t="s">
        <v>1704</v>
      </c>
      <c r="B14" s="649"/>
      <c r="C14" s="649"/>
      <c r="D14" s="743" t="s">
        <v>1661</v>
      </c>
      <c r="E14" s="743" t="s">
        <v>1516</v>
      </c>
      <c r="F14" s="728">
        <v>121050</v>
      </c>
      <c r="G14" s="729">
        <v>0</v>
      </c>
      <c r="H14" s="729">
        <v>0</v>
      </c>
      <c r="I14" s="729">
        <v>0</v>
      </c>
      <c r="J14" s="729">
        <v>0</v>
      </c>
      <c r="K14" s="729">
        <v>0</v>
      </c>
      <c r="L14" s="729">
        <v>0</v>
      </c>
      <c r="M14" s="729">
        <v>0</v>
      </c>
      <c r="N14" s="729">
        <v>0</v>
      </c>
      <c r="O14" s="729">
        <v>0</v>
      </c>
      <c r="P14" s="729">
        <v>0</v>
      </c>
      <c r="Q14" s="729">
        <v>0</v>
      </c>
      <c r="R14" s="729">
        <v>0</v>
      </c>
      <c r="S14" s="730">
        <f t="shared" si="0"/>
        <v>0</v>
      </c>
      <c r="T14" s="731">
        <f t="shared" ca="1" si="2"/>
        <v>-831</v>
      </c>
      <c r="U14" s="732">
        <v>43551</v>
      </c>
      <c r="V14" s="739" t="s">
        <v>2137</v>
      </c>
      <c r="W14" s="751"/>
      <c r="X14" s="735"/>
      <c r="Y14" s="735"/>
      <c r="Z14" s="735"/>
      <c r="AA14" s="735"/>
      <c r="AB14" s="735"/>
      <c r="AC14" s="740">
        <v>43495</v>
      </c>
      <c r="AD14" s="736">
        <v>41726</v>
      </c>
      <c r="AE14" s="737">
        <f t="shared" ca="1" si="1"/>
        <v>464</v>
      </c>
      <c r="AF14" s="649" t="s">
        <v>2291</v>
      </c>
    </row>
    <row r="15" spans="1:36" s="748" customFormat="1" ht="38.25" customHeight="1" x14ac:dyDescent="0.2">
      <c r="A15" s="742" t="s">
        <v>1546</v>
      </c>
      <c r="B15" s="649" t="s">
        <v>1522</v>
      </c>
      <c r="C15" s="649"/>
      <c r="D15" s="743" t="s">
        <v>1523</v>
      </c>
      <c r="E15" s="743" t="s">
        <v>1524</v>
      </c>
      <c r="F15" s="785">
        <v>0</v>
      </c>
      <c r="G15" s="729">
        <v>0</v>
      </c>
      <c r="H15" s="729">
        <v>0</v>
      </c>
      <c r="I15" s="729">
        <v>0</v>
      </c>
      <c r="J15" s="729">
        <v>0</v>
      </c>
      <c r="K15" s="729">
        <v>0</v>
      </c>
      <c r="L15" s="729">
        <v>0</v>
      </c>
      <c r="M15" s="729">
        <v>0</v>
      </c>
      <c r="N15" s="729">
        <v>0</v>
      </c>
      <c r="O15" s="729">
        <v>0</v>
      </c>
      <c r="P15" s="729">
        <v>0</v>
      </c>
      <c r="Q15" s="729">
        <v>0</v>
      </c>
      <c r="R15" s="729">
        <v>0</v>
      </c>
      <c r="S15" s="730">
        <f t="shared" si="0"/>
        <v>0</v>
      </c>
      <c r="T15" s="731">
        <f t="shared" ca="1" si="2"/>
        <v>-630</v>
      </c>
      <c r="U15" s="732">
        <v>43752</v>
      </c>
      <c r="V15" s="733" t="s">
        <v>2542</v>
      </c>
      <c r="W15" s="751"/>
      <c r="X15" s="735"/>
      <c r="Y15" s="735"/>
      <c r="Z15" s="735"/>
      <c r="AA15" s="735"/>
      <c r="AB15" s="735"/>
      <c r="AC15" s="740">
        <v>43509</v>
      </c>
      <c r="AD15" s="736">
        <v>41743</v>
      </c>
      <c r="AE15" s="737">
        <f t="shared" ca="1" si="1"/>
        <v>447</v>
      </c>
      <c r="AF15" s="649" t="s">
        <v>2385</v>
      </c>
    </row>
    <row r="16" spans="1:36" s="738" customFormat="1" ht="51" x14ac:dyDescent="0.2">
      <c r="A16" s="746" t="s">
        <v>1552</v>
      </c>
      <c r="B16" s="649" t="s">
        <v>2037</v>
      </c>
      <c r="C16" s="649" t="s">
        <v>56</v>
      </c>
      <c r="D16" s="743" t="s">
        <v>62</v>
      </c>
      <c r="E16" s="743" t="s">
        <v>1553</v>
      </c>
      <c r="F16" s="728">
        <v>10761</v>
      </c>
      <c r="G16" s="729">
        <v>896.75</v>
      </c>
      <c r="H16" s="802">
        <v>896.75</v>
      </c>
      <c r="I16" s="802">
        <v>896.75</v>
      </c>
      <c r="J16" s="802">
        <v>896.75</v>
      </c>
      <c r="K16" s="802">
        <v>896.75</v>
      </c>
      <c r="L16" s="802">
        <v>896.75</v>
      </c>
      <c r="M16" s="729">
        <v>896.75</v>
      </c>
      <c r="N16" s="729">
        <v>597.83000000000004</v>
      </c>
      <c r="O16" s="729">
        <v>0</v>
      </c>
      <c r="P16" s="729">
        <v>0</v>
      </c>
      <c r="Q16" s="729">
        <v>0</v>
      </c>
      <c r="R16" s="729">
        <v>0</v>
      </c>
      <c r="S16" s="730">
        <f t="shared" si="0"/>
        <v>6875.08</v>
      </c>
      <c r="T16" s="731">
        <f t="shared" ca="1" si="2"/>
        <v>-746</v>
      </c>
      <c r="U16" s="732">
        <v>43636</v>
      </c>
      <c r="V16" s="739" t="s">
        <v>2157</v>
      </c>
      <c r="W16" s="751"/>
      <c r="X16" s="735"/>
      <c r="Y16" s="735"/>
      <c r="Z16" s="735"/>
      <c r="AA16" s="735"/>
      <c r="AB16" s="735"/>
      <c r="AC16" s="740">
        <v>43578</v>
      </c>
      <c r="AD16" s="736">
        <v>41811</v>
      </c>
      <c r="AE16" s="737">
        <f t="shared" ca="1" si="1"/>
        <v>379</v>
      </c>
      <c r="AF16" s="649" t="s">
        <v>2291</v>
      </c>
    </row>
    <row r="17" spans="1:32" s="738" customFormat="1" ht="38.25" x14ac:dyDescent="0.2">
      <c r="A17" s="742" t="s">
        <v>1558</v>
      </c>
      <c r="B17" s="649" t="s">
        <v>1700</v>
      </c>
      <c r="C17" s="649" t="s">
        <v>617</v>
      </c>
      <c r="D17" s="743" t="s">
        <v>618</v>
      </c>
      <c r="E17" s="743" t="s">
        <v>1559</v>
      </c>
      <c r="F17" s="728">
        <v>69983.28</v>
      </c>
      <c r="G17" s="729">
        <v>0</v>
      </c>
      <c r="H17" s="729">
        <v>0</v>
      </c>
      <c r="I17" s="729">
        <v>0</v>
      </c>
      <c r="J17" s="729">
        <v>0</v>
      </c>
      <c r="K17" s="729">
        <v>0</v>
      </c>
      <c r="L17" s="729">
        <v>0</v>
      </c>
      <c r="M17" s="729">
        <v>0</v>
      </c>
      <c r="N17" s="729">
        <v>0</v>
      </c>
      <c r="O17" s="729">
        <v>6413.16</v>
      </c>
      <c r="P17" s="729">
        <v>0</v>
      </c>
      <c r="Q17" s="729">
        <v>0</v>
      </c>
      <c r="R17" s="729">
        <v>0</v>
      </c>
      <c r="S17" s="730">
        <f t="shared" si="0"/>
        <v>6413.16</v>
      </c>
      <c r="T17" s="731">
        <f t="shared" ca="1" si="2"/>
        <v>-1102</v>
      </c>
      <c r="U17" s="732">
        <v>43280</v>
      </c>
      <c r="V17" s="739" t="s">
        <v>2046</v>
      </c>
      <c r="W17" s="751"/>
      <c r="X17" s="735"/>
      <c r="Y17" s="735"/>
      <c r="Z17" s="735"/>
      <c r="AA17" s="735"/>
      <c r="AB17" s="735"/>
      <c r="AC17" s="740">
        <v>42852</v>
      </c>
      <c r="AD17" s="736">
        <v>41820</v>
      </c>
      <c r="AE17" s="737">
        <f t="shared" ca="1" si="1"/>
        <v>370</v>
      </c>
      <c r="AF17" s="649" t="s">
        <v>2379</v>
      </c>
    </row>
    <row r="18" spans="1:32" s="748" customFormat="1" ht="51" x14ac:dyDescent="0.2">
      <c r="A18" s="742" t="s">
        <v>1581</v>
      </c>
      <c r="B18" s="649"/>
      <c r="C18" s="649"/>
      <c r="D18" s="743" t="s">
        <v>586</v>
      </c>
      <c r="E18" s="743" t="s">
        <v>2054</v>
      </c>
      <c r="F18" s="728">
        <v>1564203</v>
      </c>
      <c r="G18" s="842">
        <v>125615.34</v>
      </c>
      <c r="H18" s="842">
        <f>82275.68+1352.43</f>
        <v>83628.109999999986</v>
      </c>
      <c r="I18" s="842">
        <f>14876.7+85202.89+1352.43</f>
        <v>101432.01999999999</v>
      </c>
      <c r="J18" s="842">
        <v>120365.99</v>
      </c>
      <c r="K18" s="842">
        <v>152498.73000000001</v>
      </c>
      <c r="L18" s="842">
        <f>1352.43+139166.23</f>
        <v>140518.66</v>
      </c>
      <c r="M18" s="842">
        <v>134486.29</v>
      </c>
      <c r="N18" s="842">
        <v>138606.28</v>
      </c>
      <c r="O18" s="729">
        <v>0</v>
      </c>
      <c r="P18" s="729">
        <v>0</v>
      </c>
      <c r="Q18" s="729">
        <v>0</v>
      </c>
      <c r="R18" s="729">
        <v>0</v>
      </c>
      <c r="S18" s="730">
        <f t="shared" si="0"/>
        <v>997151.42</v>
      </c>
      <c r="T18" s="731">
        <f t="shared" ca="1" si="2"/>
        <v>-691</v>
      </c>
      <c r="U18" s="732">
        <v>43691</v>
      </c>
      <c r="V18" s="739" t="s">
        <v>2185</v>
      </c>
      <c r="W18" s="751"/>
      <c r="X18" s="735"/>
      <c r="Y18" s="735"/>
      <c r="Z18" s="735"/>
      <c r="AA18" s="735"/>
      <c r="AB18" s="735"/>
      <c r="AC18" s="740">
        <v>43634</v>
      </c>
      <c r="AD18" s="736">
        <v>41897</v>
      </c>
      <c r="AE18" s="737">
        <f t="shared" ca="1" si="1"/>
        <v>293</v>
      </c>
      <c r="AF18" s="649" t="s">
        <v>2307</v>
      </c>
    </row>
    <row r="19" spans="1:32" s="745" customFormat="1" ht="42" customHeight="1" x14ac:dyDescent="0.2">
      <c r="A19" s="742" t="s">
        <v>1600</v>
      </c>
      <c r="B19" s="649"/>
      <c r="C19" s="649"/>
      <c r="D19" s="743" t="s">
        <v>1601</v>
      </c>
      <c r="E19" s="743" t="s">
        <v>1602</v>
      </c>
      <c r="F19" s="728">
        <v>10160</v>
      </c>
      <c r="G19" s="729">
        <v>635.67999999999995</v>
      </c>
      <c r="H19" s="729">
        <f>635.68+629.38</f>
        <v>1265.06</v>
      </c>
      <c r="I19" s="729">
        <v>478.33</v>
      </c>
      <c r="J19" s="729">
        <v>459.45</v>
      </c>
      <c r="K19" s="729">
        <v>459.45</v>
      </c>
      <c r="L19" s="729">
        <v>597.91</v>
      </c>
      <c r="M19" s="729">
        <v>623.09</v>
      </c>
      <c r="N19" s="729">
        <v>616.74</v>
      </c>
      <c r="O19" s="729">
        <v>654.55999999999995</v>
      </c>
      <c r="P19" s="729">
        <v>635.67999999999995</v>
      </c>
      <c r="Q19" s="729">
        <v>635.67999999999995</v>
      </c>
      <c r="R19" s="729">
        <v>0</v>
      </c>
      <c r="S19" s="730">
        <f t="shared" si="0"/>
        <v>7061.6299999999992</v>
      </c>
      <c r="T19" s="731">
        <f t="shared" ca="1" si="2"/>
        <v>-633</v>
      </c>
      <c r="U19" s="732">
        <v>43749</v>
      </c>
      <c r="V19" s="733" t="s">
        <v>2554</v>
      </c>
      <c r="W19" s="786"/>
      <c r="X19" s="735"/>
      <c r="Y19" s="735"/>
      <c r="Z19" s="735"/>
      <c r="AA19" s="735"/>
      <c r="AB19" s="735"/>
      <c r="AC19" s="740"/>
      <c r="AD19" s="736">
        <v>41913</v>
      </c>
      <c r="AE19" s="737">
        <f t="shared" ca="1" si="1"/>
        <v>277</v>
      </c>
      <c r="AF19" s="649" t="s">
        <v>2307</v>
      </c>
    </row>
    <row r="20" spans="1:32" s="738" customFormat="1" ht="25.5" x14ac:dyDescent="0.2">
      <c r="A20" s="746" t="s">
        <v>1614</v>
      </c>
      <c r="B20" s="649"/>
      <c r="C20" s="649"/>
      <c r="D20" s="743" t="s">
        <v>1615</v>
      </c>
      <c r="E20" s="743" t="s">
        <v>1616</v>
      </c>
      <c r="F20" s="728">
        <v>61680</v>
      </c>
      <c r="G20" s="729">
        <v>0</v>
      </c>
      <c r="H20" s="729">
        <v>0</v>
      </c>
      <c r="I20" s="729">
        <v>0</v>
      </c>
      <c r="J20" s="729">
        <v>0</v>
      </c>
      <c r="K20" s="729">
        <v>0</v>
      </c>
      <c r="L20" s="729">
        <v>0</v>
      </c>
      <c r="M20" s="729">
        <v>0</v>
      </c>
      <c r="N20" s="729">
        <v>0</v>
      </c>
      <c r="O20" s="729">
        <v>0</v>
      </c>
      <c r="P20" s="729">
        <v>0</v>
      </c>
      <c r="Q20" s="729">
        <v>0</v>
      </c>
      <c r="R20" s="729">
        <v>0</v>
      </c>
      <c r="S20" s="730">
        <f t="shared" si="0"/>
        <v>0</v>
      </c>
      <c r="T20" s="731">
        <f t="shared" ca="1" si="2"/>
        <v>-962</v>
      </c>
      <c r="U20" s="732">
        <v>43420</v>
      </c>
      <c r="V20" s="739" t="s">
        <v>1617</v>
      </c>
      <c r="W20" s="751"/>
      <c r="X20" s="735"/>
      <c r="Y20" s="735"/>
      <c r="Z20" s="735"/>
      <c r="AA20" s="735"/>
      <c r="AB20" s="735"/>
      <c r="AC20" s="740">
        <v>43360</v>
      </c>
      <c r="AD20" s="736">
        <v>41961</v>
      </c>
      <c r="AE20" s="737">
        <f t="shared" ca="1" si="1"/>
        <v>229</v>
      </c>
      <c r="AF20" s="649" t="s">
        <v>2379</v>
      </c>
    </row>
    <row r="21" spans="1:32" s="738" customFormat="1" ht="38.25" x14ac:dyDescent="0.2">
      <c r="A21" s="746" t="s">
        <v>1645</v>
      </c>
      <c r="B21" s="649" t="s">
        <v>1608</v>
      </c>
      <c r="C21" s="649" t="s">
        <v>56</v>
      </c>
      <c r="D21" s="743" t="s">
        <v>1646</v>
      </c>
      <c r="E21" s="743" t="s">
        <v>1647</v>
      </c>
      <c r="F21" s="728">
        <v>13399.2</v>
      </c>
      <c r="G21" s="729">
        <v>0</v>
      </c>
      <c r="H21" s="729">
        <v>0</v>
      </c>
      <c r="I21" s="729">
        <v>0</v>
      </c>
      <c r="J21" s="729">
        <v>0</v>
      </c>
      <c r="K21" s="729">
        <v>0</v>
      </c>
      <c r="L21" s="729">
        <v>0</v>
      </c>
      <c r="M21" s="729">
        <v>0</v>
      </c>
      <c r="N21" s="729">
        <v>0</v>
      </c>
      <c r="O21" s="729">
        <v>0</v>
      </c>
      <c r="P21" s="729">
        <v>0</v>
      </c>
      <c r="Q21" s="729">
        <v>0</v>
      </c>
      <c r="R21" s="729">
        <v>0</v>
      </c>
      <c r="S21" s="730">
        <f t="shared" si="0"/>
        <v>0</v>
      </c>
      <c r="T21" s="731">
        <f t="shared" ca="1" si="2"/>
        <v>-538</v>
      </c>
      <c r="U21" s="732">
        <v>43844</v>
      </c>
      <c r="V21" s="739" t="s">
        <v>1648</v>
      </c>
      <c r="W21" s="751" t="s">
        <v>2469</v>
      </c>
      <c r="X21" s="735"/>
      <c r="Y21" s="735"/>
      <c r="Z21" s="735"/>
      <c r="AA21" s="735"/>
      <c r="AB21" s="735"/>
      <c r="AC21" s="740">
        <v>43804</v>
      </c>
      <c r="AD21" s="736">
        <v>42019</v>
      </c>
      <c r="AE21" s="737">
        <f t="shared" ca="1" si="1"/>
        <v>171</v>
      </c>
      <c r="AF21" s="649" t="s">
        <v>2291</v>
      </c>
    </row>
    <row r="22" spans="1:32" s="738" customFormat="1" ht="25.5" x14ac:dyDescent="0.2">
      <c r="A22" s="746" t="s">
        <v>1722</v>
      </c>
      <c r="B22" s="649" t="s">
        <v>1608</v>
      </c>
      <c r="C22" s="649" t="s">
        <v>56</v>
      </c>
      <c r="D22" s="743" t="s">
        <v>50</v>
      </c>
      <c r="E22" s="743" t="s">
        <v>1723</v>
      </c>
      <c r="F22" s="728">
        <v>15478.68</v>
      </c>
      <c r="G22" s="729">
        <f>1086.69+102.16+102.16</f>
        <v>1291.0100000000002</v>
      </c>
      <c r="H22" s="729">
        <f>1086.69+102.16</f>
        <v>1188.8500000000001</v>
      </c>
      <c r="I22" s="729">
        <f>1086.69+102.16</f>
        <v>1188.8500000000001</v>
      </c>
      <c r="J22" s="729">
        <f>1086.69+102.16</f>
        <v>1188.8500000000001</v>
      </c>
      <c r="K22" s="729">
        <f>965.53+102.16</f>
        <v>1067.69</v>
      </c>
      <c r="L22" s="729">
        <f>113.16+1203.68</f>
        <v>1316.8400000000001</v>
      </c>
      <c r="M22" s="729">
        <f>110.84+1179.05</f>
        <v>1289.8899999999999</v>
      </c>
      <c r="N22" s="729">
        <f>110.84+1179.05</f>
        <v>1289.8899999999999</v>
      </c>
      <c r="O22" s="729">
        <v>0</v>
      </c>
      <c r="P22" s="729">
        <f>110.84+1179.05</f>
        <v>1289.8899999999999</v>
      </c>
      <c r="Q22" s="729">
        <f>110.84+1179.05</f>
        <v>1289.8899999999999</v>
      </c>
      <c r="R22" s="729">
        <f>1179.05+1179.05</f>
        <v>2358.1</v>
      </c>
      <c r="S22" s="730">
        <f t="shared" si="0"/>
        <v>14759.75</v>
      </c>
      <c r="T22" s="731">
        <f t="shared" ca="1" si="2"/>
        <v>-439</v>
      </c>
      <c r="U22" s="732">
        <v>43943</v>
      </c>
      <c r="V22" s="733" t="s">
        <v>2402</v>
      </c>
      <c r="W22" s="751"/>
      <c r="X22" s="735"/>
      <c r="Y22" s="735"/>
      <c r="Z22" s="735"/>
      <c r="AA22" s="735"/>
      <c r="AB22" s="735"/>
      <c r="AC22" s="740"/>
      <c r="AD22" s="736">
        <v>42117</v>
      </c>
      <c r="AE22" s="737">
        <f t="shared" ca="1" si="1"/>
        <v>73</v>
      </c>
      <c r="AF22" s="649" t="s">
        <v>54</v>
      </c>
    </row>
    <row r="23" spans="1:32" s="738" customFormat="1" ht="38.25" customHeight="1" x14ac:dyDescent="0.2">
      <c r="A23" s="746" t="s">
        <v>1733</v>
      </c>
      <c r="B23" s="649"/>
      <c r="C23" s="649" t="s">
        <v>1734</v>
      </c>
      <c r="D23" s="743" t="s">
        <v>1735</v>
      </c>
      <c r="E23" s="743" t="s">
        <v>1736</v>
      </c>
      <c r="F23" s="728">
        <v>600958.43999999994</v>
      </c>
      <c r="G23" s="845">
        <v>45296.42</v>
      </c>
      <c r="H23" s="845">
        <v>45296.42</v>
      </c>
      <c r="I23" s="845">
        <v>45296.42</v>
      </c>
      <c r="J23" s="845">
        <v>45296.42</v>
      </c>
      <c r="K23" s="845">
        <v>45296.42</v>
      </c>
      <c r="L23" s="845">
        <v>45296.42</v>
      </c>
      <c r="M23" s="729">
        <v>49789.93</v>
      </c>
      <c r="N23" s="729">
        <v>49986.52</v>
      </c>
      <c r="O23" s="729">
        <v>49986.52</v>
      </c>
      <c r="P23" s="729">
        <v>49986.52</v>
      </c>
      <c r="Q23" s="729">
        <v>49986.52</v>
      </c>
      <c r="R23" s="729">
        <v>49986.52</v>
      </c>
      <c r="S23" s="730">
        <f t="shared" si="0"/>
        <v>571501.05000000005</v>
      </c>
      <c r="T23" s="731">
        <f t="shared" ca="1" si="2"/>
        <v>-336</v>
      </c>
      <c r="U23" s="732">
        <v>44046</v>
      </c>
      <c r="V23" s="733" t="s">
        <v>2699</v>
      </c>
      <c r="W23" s="751"/>
      <c r="X23" s="735"/>
      <c r="Y23" s="735"/>
      <c r="Z23" s="735"/>
      <c r="AA23" s="735"/>
      <c r="AB23" s="735"/>
      <c r="AC23" s="740"/>
      <c r="AD23" s="736">
        <v>43315</v>
      </c>
      <c r="AE23" s="737">
        <f t="shared" ca="1" si="1"/>
        <v>-1125</v>
      </c>
      <c r="AF23" s="649" t="s">
        <v>2291</v>
      </c>
    </row>
    <row r="24" spans="1:32" s="745" customFormat="1" ht="38.25" x14ac:dyDescent="0.2">
      <c r="A24" s="742" t="s">
        <v>1770</v>
      </c>
      <c r="B24" s="649"/>
      <c r="C24" s="649" t="s">
        <v>1771</v>
      </c>
      <c r="D24" s="743" t="s">
        <v>44</v>
      </c>
      <c r="E24" s="743" t="s">
        <v>2111</v>
      </c>
      <c r="F24" s="728">
        <v>70048.36</v>
      </c>
      <c r="G24" s="729">
        <v>5837.37</v>
      </c>
      <c r="H24" s="729">
        <v>5837.37</v>
      </c>
      <c r="I24" s="729">
        <v>0</v>
      </c>
      <c r="J24" s="729">
        <v>0</v>
      </c>
      <c r="K24" s="729">
        <v>0</v>
      </c>
      <c r="L24" s="729">
        <v>0</v>
      </c>
      <c r="M24" s="729">
        <v>0</v>
      </c>
      <c r="N24" s="729">
        <v>0</v>
      </c>
      <c r="O24" s="729">
        <v>0</v>
      </c>
      <c r="P24" s="729">
        <v>0</v>
      </c>
      <c r="Q24" s="729">
        <v>0</v>
      </c>
      <c r="R24" s="729">
        <v>0</v>
      </c>
      <c r="S24" s="730">
        <f t="shared" si="0"/>
        <v>11674.74</v>
      </c>
      <c r="T24" s="731">
        <f t="shared" ca="1" si="2"/>
        <v>-949</v>
      </c>
      <c r="U24" s="732">
        <v>43433</v>
      </c>
      <c r="V24" s="739" t="s">
        <v>2112</v>
      </c>
      <c r="W24" s="751"/>
      <c r="X24" s="735"/>
      <c r="Y24" s="735"/>
      <c r="Z24" s="735"/>
      <c r="AA24" s="735"/>
      <c r="AB24" s="735"/>
      <c r="AC24" s="740">
        <v>43378</v>
      </c>
      <c r="AD24" s="736">
        <v>42338</v>
      </c>
      <c r="AE24" s="737">
        <f t="shared" ca="1" si="1"/>
        <v>-148</v>
      </c>
      <c r="AF24" s="649" t="s">
        <v>2291</v>
      </c>
    </row>
    <row r="25" spans="1:32" s="745" customFormat="1" ht="25.5" x14ac:dyDescent="0.2">
      <c r="A25" s="742" t="s">
        <v>1777</v>
      </c>
      <c r="B25" s="773" t="s">
        <v>1775</v>
      </c>
      <c r="C25" s="649"/>
      <c r="D25" s="743" t="s">
        <v>1778</v>
      </c>
      <c r="E25" s="743" t="s">
        <v>1779</v>
      </c>
      <c r="F25" s="728">
        <v>15666.96</v>
      </c>
      <c r="G25" s="729">
        <v>1446.68</v>
      </c>
      <c r="H25" s="729">
        <v>1446.68</v>
      </c>
      <c r="I25" s="729">
        <v>1446.68</v>
      </c>
      <c r="J25" s="729">
        <v>0</v>
      </c>
      <c r="K25" s="729">
        <v>0</v>
      </c>
      <c r="L25" s="729">
        <v>0</v>
      </c>
      <c r="M25" s="729">
        <v>0</v>
      </c>
      <c r="N25" s="729">
        <v>0</v>
      </c>
      <c r="O25" s="729">
        <v>0</v>
      </c>
      <c r="P25" s="729">
        <v>0</v>
      </c>
      <c r="Q25" s="729">
        <v>0</v>
      </c>
      <c r="R25" s="729">
        <v>0</v>
      </c>
      <c r="S25" s="730">
        <f t="shared" si="0"/>
        <v>4340.04</v>
      </c>
      <c r="T25" s="731">
        <f t="shared" ca="1" si="2"/>
        <v>-949</v>
      </c>
      <c r="U25" s="732">
        <v>43433</v>
      </c>
      <c r="V25" s="739" t="s">
        <v>2112</v>
      </c>
      <c r="W25" s="751"/>
      <c r="X25" s="735"/>
      <c r="Y25" s="735"/>
      <c r="Z25" s="735"/>
      <c r="AA25" s="735"/>
      <c r="AB25" s="735"/>
      <c r="AC25" s="740">
        <v>43378</v>
      </c>
      <c r="AD25" s="736">
        <v>42338</v>
      </c>
      <c r="AE25" s="737">
        <f t="shared" ca="1" si="1"/>
        <v>-148</v>
      </c>
      <c r="AF25" s="649" t="s">
        <v>1454</v>
      </c>
    </row>
    <row r="26" spans="1:32" s="745" customFormat="1" ht="114.75" x14ac:dyDescent="0.2">
      <c r="A26" s="742" t="s">
        <v>1792</v>
      </c>
      <c r="B26" s="649"/>
      <c r="C26" s="649" t="s">
        <v>1793</v>
      </c>
      <c r="D26" s="743" t="s">
        <v>586</v>
      </c>
      <c r="E26" s="743" t="s">
        <v>1880</v>
      </c>
      <c r="F26" s="728">
        <v>0</v>
      </c>
      <c r="G26" s="729">
        <v>0</v>
      </c>
      <c r="H26" s="729">
        <v>0</v>
      </c>
      <c r="I26" s="729">
        <v>0</v>
      </c>
      <c r="J26" s="729">
        <v>0</v>
      </c>
      <c r="K26" s="729">
        <v>0</v>
      </c>
      <c r="L26" s="729">
        <v>0</v>
      </c>
      <c r="M26" s="729">
        <v>0</v>
      </c>
      <c r="N26" s="729">
        <v>0</v>
      </c>
      <c r="O26" s="729">
        <v>0</v>
      </c>
      <c r="P26" s="729">
        <v>0</v>
      </c>
      <c r="Q26" s="729">
        <v>0</v>
      </c>
      <c r="R26" s="729">
        <v>0</v>
      </c>
      <c r="S26" s="730">
        <f t="shared" si="0"/>
        <v>0</v>
      </c>
      <c r="T26" s="749">
        <f t="shared" ca="1" si="2"/>
        <v>-188</v>
      </c>
      <c r="U26" s="732">
        <v>44194</v>
      </c>
      <c r="V26" s="733" t="s">
        <v>1873</v>
      </c>
      <c r="W26" s="751"/>
      <c r="X26" s="735"/>
      <c r="Y26" s="735"/>
      <c r="Z26" s="735"/>
      <c r="AA26" s="735"/>
      <c r="AB26" s="735"/>
      <c r="AC26" s="740"/>
      <c r="AD26" s="736">
        <v>42358</v>
      </c>
      <c r="AE26" s="750">
        <f t="shared" ca="1" si="1"/>
        <v>-168</v>
      </c>
      <c r="AF26" s="649" t="s">
        <v>1796</v>
      </c>
    </row>
    <row r="27" spans="1:32" s="745" customFormat="1" ht="38.25" x14ac:dyDescent="0.2">
      <c r="A27" s="742" t="s">
        <v>1844</v>
      </c>
      <c r="B27" s="649" t="s">
        <v>1845</v>
      </c>
      <c r="C27" s="649"/>
      <c r="D27" s="743" t="s">
        <v>171</v>
      </c>
      <c r="E27" s="743" t="s">
        <v>1846</v>
      </c>
      <c r="F27" s="728" t="s">
        <v>1847</v>
      </c>
      <c r="G27" s="729">
        <f>622.19+5.4+23.45</f>
        <v>651.04000000000008</v>
      </c>
      <c r="H27" s="729">
        <v>0</v>
      </c>
      <c r="I27" s="729">
        <v>0</v>
      </c>
      <c r="J27" s="729">
        <v>0</v>
      </c>
      <c r="K27" s="729">
        <v>0</v>
      </c>
      <c r="L27" s="729">
        <v>0</v>
      </c>
      <c r="M27" s="729">
        <v>0</v>
      </c>
      <c r="N27" s="729">
        <v>0</v>
      </c>
      <c r="O27" s="729">
        <v>0</v>
      </c>
      <c r="P27" s="729">
        <v>0</v>
      </c>
      <c r="Q27" s="729">
        <v>0</v>
      </c>
      <c r="R27" s="729">
        <v>0</v>
      </c>
      <c r="S27" s="730">
        <f t="shared" si="0"/>
        <v>651.04000000000008</v>
      </c>
      <c r="T27" s="731">
        <f t="shared" ca="1" si="2"/>
        <v>-912</v>
      </c>
      <c r="U27" s="732">
        <v>43470</v>
      </c>
      <c r="V27" s="739" t="s">
        <v>2095</v>
      </c>
      <c r="W27" s="751"/>
      <c r="X27" s="735"/>
      <c r="Y27" s="735"/>
      <c r="Z27" s="735"/>
      <c r="AA27" s="735"/>
      <c r="AB27" s="735"/>
      <c r="AC27" s="740">
        <v>43413</v>
      </c>
      <c r="AD27" s="736">
        <v>42374</v>
      </c>
      <c r="AE27" s="737">
        <f t="shared" ca="1" si="1"/>
        <v>-184</v>
      </c>
      <c r="AF27" s="649" t="s">
        <v>54</v>
      </c>
    </row>
    <row r="28" spans="1:32" s="745" customFormat="1" ht="38.25" x14ac:dyDescent="0.2">
      <c r="A28" s="742" t="s">
        <v>1756</v>
      </c>
      <c r="B28" s="649"/>
      <c r="C28" s="649" t="s">
        <v>1757</v>
      </c>
      <c r="D28" s="743" t="s">
        <v>1855</v>
      </c>
      <c r="E28" s="743" t="s">
        <v>1798</v>
      </c>
      <c r="F28" s="728" t="s">
        <v>314</v>
      </c>
      <c r="G28" s="729">
        <v>0</v>
      </c>
      <c r="H28" s="729">
        <v>0</v>
      </c>
      <c r="I28" s="729">
        <v>0</v>
      </c>
      <c r="J28" s="729">
        <v>0</v>
      </c>
      <c r="K28" s="729">
        <v>0</v>
      </c>
      <c r="L28" s="729">
        <v>0</v>
      </c>
      <c r="M28" s="729">
        <v>0</v>
      </c>
      <c r="N28" s="729">
        <v>0</v>
      </c>
      <c r="O28" s="729">
        <v>0</v>
      </c>
      <c r="P28" s="729">
        <v>0</v>
      </c>
      <c r="Q28" s="729">
        <v>0</v>
      </c>
      <c r="R28" s="729">
        <v>0</v>
      </c>
      <c r="S28" s="730">
        <f t="shared" si="0"/>
        <v>0</v>
      </c>
      <c r="T28" s="731">
        <f t="shared" ca="1" si="2"/>
        <v>-842</v>
      </c>
      <c r="U28" s="732">
        <v>43540</v>
      </c>
      <c r="V28" s="739" t="s">
        <v>2268</v>
      </c>
      <c r="W28" s="751"/>
      <c r="X28" s="735"/>
      <c r="Y28" s="735"/>
      <c r="Z28" s="735"/>
      <c r="AA28" s="735"/>
      <c r="AB28" s="735"/>
      <c r="AC28" s="740">
        <v>43494</v>
      </c>
      <c r="AD28" s="736">
        <v>42446</v>
      </c>
      <c r="AE28" s="737">
        <f t="shared" ca="1" si="1"/>
        <v>-255</v>
      </c>
      <c r="AF28" s="649" t="s">
        <v>2343</v>
      </c>
    </row>
    <row r="29" spans="1:32" s="745" customFormat="1" ht="51" x14ac:dyDescent="0.2">
      <c r="A29" s="742" t="s">
        <v>1857</v>
      </c>
      <c r="B29" s="649"/>
      <c r="C29" s="649" t="s">
        <v>1858</v>
      </c>
      <c r="D29" s="743" t="s">
        <v>1654</v>
      </c>
      <c r="E29" s="743" t="s">
        <v>1859</v>
      </c>
      <c r="F29" s="728" t="s">
        <v>1861</v>
      </c>
      <c r="G29" s="729">
        <v>924.84</v>
      </c>
      <c r="H29" s="729">
        <v>0</v>
      </c>
      <c r="I29" s="729">
        <v>0</v>
      </c>
      <c r="J29" s="729">
        <v>0</v>
      </c>
      <c r="K29" s="729">
        <v>0</v>
      </c>
      <c r="L29" s="729">
        <v>0</v>
      </c>
      <c r="M29" s="729">
        <v>0</v>
      </c>
      <c r="N29" s="729">
        <v>0</v>
      </c>
      <c r="O29" s="729">
        <v>0</v>
      </c>
      <c r="P29" s="729">
        <v>0</v>
      </c>
      <c r="Q29" s="729">
        <v>0</v>
      </c>
      <c r="R29" s="729">
        <v>0</v>
      </c>
      <c r="S29" s="730">
        <f t="shared" si="0"/>
        <v>924.84</v>
      </c>
      <c r="T29" s="731">
        <f t="shared" ca="1" si="2"/>
        <v>-841</v>
      </c>
      <c r="U29" s="732">
        <v>43541</v>
      </c>
      <c r="V29" s="739" t="s">
        <v>1862</v>
      </c>
      <c r="W29" s="751"/>
      <c r="X29" s="735"/>
      <c r="Y29" s="735"/>
      <c r="Z29" s="735"/>
      <c r="AA29" s="735"/>
      <c r="AB29" s="735"/>
      <c r="AC29" s="740">
        <v>43494</v>
      </c>
      <c r="AD29" s="736">
        <v>42447</v>
      </c>
      <c r="AE29" s="737">
        <f t="shared" ca="1" si="1"/>
        <v>-256</v>
      </c>
      <c r="AF29" s="649" t="s">
        <v>2379</v>
      </c>
    </row>
    <row r="30" spans="1:32" s="745" customFormat="1" ht="38.25" x14ac:dyDescent="0.2">
      <c r="A30" s="742" t="s">
        <v>1756</v>
      </c>
      <c r="B30" s="649"/>
      <c r="C30" s="649" t="s">
        <v>1757</v>
      </c>
      <c r="D30" s="743" t="s">
        <v>1874</v>
      </c>
      <c r="E30" s="743" t="s">
        <v>1798</v>
      </c>
      <c r="F30" s="728">
        <v>0</v>
      </c>
      <c r="G30" s="729">
        <v>0</v>
      </c>
      <c r="H30" s="729">
        <v>0</v>
      </c>
      <c r="I30" s="729">
        <v>0</v>
      </c>
      <c r="J30" s="729">
        <v>0</v>
      </c>
      <c r="K30" s="729">
        <v>0</v>
      </c>
      <c r="L30" s="729">
        <v>0</v>
      </c>
      <c r="M30" s="729">
        <v>0</v>
      </c>
      <c r="N30" s="729">
        <v>0</v>
      </c>
      <c r="O30" s="729">
        <v>0</v>
      </c>
      <c r="P30" s="729">
        <v>0</v>
      </c>
      <c r="Q30" s="729">
        <v>0</v>
      </c>
      <c r="R30" s="729">
        <v>0</v>
      </c>
      <c r="S30" s="730">
        <f t="shared" si="0"/>
        <v>0</v>
      </c>
      <c r="T30" s="731">
        <f t="shared" ca="1" si="2"/>
        <v>-1152</v>
      </c>
      <c r="U30" s="732">
        <v>43230</v>
      </c>
      <c r="V30" s="739" t="s">
        <v>2051</v>
      </c>
      <c r="W30" s="751"/>
      <c r="X30" s="735"/>
      <c r="Y30" s="735"/>
      <c r="Z30" s="735"/>
      <c r="AA30" s="735"/>
      <c r="AB30" s="735"/>
      <c r="AC30" s="740">
        <v>43172</v>
      </c>
      <c r="AD30" s="736">
        <v>42492</v>
      </c>
      <c r="AE30" s="737">
        <f t="shared" ca="1" si="1"/>
        <v>-301</v>
      </c>
      <c r="AF30" s="649" t="s">
        <v>2343</v>
      </c>
    </row>
    <row r="31" spans="1:32" s="745" customFormat="1" ht="38.25" x14ac:dyDescent="0.2">
      <c r="A31" s="742" t="s">
        <v>1756</v>
      </c>
      <c r="B31" s="649"/>
      <c r="C31" s="649" t="s">
        <v>1757</v>
      </c>
      <c r="D31" s="743" t="s">
        <v>1875</v>
      </c>
      <c r="E31" s="743" t="s">
        <v>1798</v>
      </c>
      <c r="F31" s="728">
        <v>0</v>
      </c>
      <c r="G31" s="729">
        <v>0</v>
      </c>
      <c r="H31" s="729">
        <v>0</v>
      </c>
      <c r="I31" s="729">
        <v>0</v>
      </c>
      <c r="J31" s="729">
        <v>0</v>
      </c>
      <c r="K31" s="729">
        <v>0</v>
      </c>
      <c r="L31" s="729">
        <v>0</v>
      </c>
      <c r="M31" s="729">
        <v>0</v>
      </c>
      <c r="N31" s="729">
        <v>0</v>
      </c>
      <c r="O31" s="729">
        <v>0</v>
      </c>
      <c r="P31" s="729">
        <v>0</v>
      </c>
      <c r="Q31" s="729">
        <v>0</v>
      </c>
      <c r="R31" s="729">
        <v>0</v>
      </c>
      <c r="S31" s="730">
        <f t="shared" si="0"/>
        <v>0</v>
      </c>
      <c r="T31" s="731">
        <f t="shared" ca="1" si="2"/>
        <v>-794</v>
      </c>
      <c r="U31" s="732">
        <v>43588</v>
      </c>
      <c r="V31" s="739" t="s">
        <v>2149</v>
      </c>
      <c r="W31" s="751"/>
      <c r="X31" s="735"/>
      <c r="Y31" s="735"/>
      <c r="Z31" s="735"/>
      <c r="AA31" s="735"/>
      <c r="AB31" s="735"/>
      <c r="AC31" s="740">
        <v>43532</v>
      </c>
      <c r="AD31" s="736">
        <v>42494</v>
      </c>
      <c r="AE31" s="737">
        <f t="shared" ca="1" si="1"/>
        <v>-303</v>
      </c>
      <c r="AF31" s="649" t="s">
        <v>2343</v>
      </c>
    </row>
    <row r="32" spans="1:32" s="745" customFormat="1" ht="38.25" x14ac:dyDescent="0.2">
      <c r="A32" s="742" t="s">
        <v>1756</v>
      </c>
      <c r="B32" s="649"/>
      <c r="C32" s="649" t="s">
        <v>1757</v>
      </c>
      <c r="D32" s="743" t="s">
        <v>1906</v>
      </c>
      <c r="E32" s="743" t="s">
        <v>1798</v>
      </c>
      <c r="F32" s="728">
        <v>0</v>
      </c>
      <c r="G32" s="729">
        <v>0</v>
      </c>
      <c r="H32" s="729">
        <v>0</v>
      </c>
      <c r="I32" s="729">
        <v>0</v>
      </c>
      <c r="J32" s="729">
        <v>0</v>
      </c>
      <c r="K32" s="729">
        <v>0</v>
      </c>
      <c r="L32" s="729">
        <v>0</v>
      </c>
      <c r="M32" s="729">
        <v>0</v>
      </c>
      <c r="N32" s="729">
        <v>0</v>
      </c>
      <c r="O32" s="729">
        <v>0</v>
      </c>
      <c r="P32" s="729">
        <v>0</v>
      </c>
      <c r="Q32" s="729">
        <v>0</v>
      </c>
      <c r="R32" s="729">
        <v>0</v>
      </c>
      <c r="S32" s="730">
        <f t="shared" si="0"/>
        <v>0</v>
      </c>
      <c r="T32" s="731">
        <f t="shared" ca="1" si="2"/>
        <v>-1152</v>
      </c>
      <c r="U32" s="732">
        <v>43230</v>
      </c>
      <c r="V32" s="739" t="s">
        <v>2051</v>
      </c>
      <c r="W32" s="751"/>
      <c r="X32" s="735"/>
      <c r="Y32" s="735"/>
      <c r="Z32" s="735"/>
      <c r="AA32" s="735"/>
      <c r="AB32" s="735"/>
      <c r="AC32" s="740">
        <v>43172</v>
      </c>
      <c r="AD32" s="736">
        <v>42501</v>
      </c>
      <c r="AE32" s="737">
        <f t="shared" ca="1" si="1"/>
        <v>-310</v>
      </c>
      <c r="AF32" s="649" t="s">
        <v>2343</v>
      </c>
    </row>
    <row r="33" spans="1:32" s="745" customFormat="1" ht="25.5" x14ac:dyDescent="0.2">
      <c r="A33" s="742" t="s">
        <v>1895</v>
      </c>
      <c r="B33" s="649" t="s">
        <v>1896</v>
      </c>
      <c r="C33" s="649"/>
      <c r="D33" s="743" t="s">
        <v>1897</v>
      </c>
      <c r="E33" s="743" t="s">
        <v>2035</v>
      </c>
      <c r="F33" s="728">
        <v>7990</v>
      </c>
      <c r="G33" s="729">
        <v>0</v>
      </c>
      <c r="H33" s="729">
        <v>0</v>
      </c>
      <c r="I33" s="729">
        <v>0</v>
      </c>
      <c r="J33" s="729">
        <v>0</v>
      </c>
      <c r="K33" s="729">
        <v>0</v>
      </c>
      <c r="L33" s="729">
        <v>0</v>
      </c>
      <c r="M33" s="729">
        <v>7990</v>
      </c>
      <c r="N33" s="729">
        <v>0</v>
      </c>
      <c r="O33" s="729">
        <v>0</v>
      </c>
      <c r="P33" s="729">
        <v>0</v>
      </c>
      <c r="Q33" s="729">
        <v>0</v>
      </c>
      <c r="R33" s="729">
        <v>0</v>
      </c>
      <c r="S33" s="730">
        <f t="shared" si="0"/>
        <v>7990</v>
      </c>
      <c r="T33" s="731">
        <f t="shared" ca="1" si="2"/>
        <v>-372</v>
      </c>
      <c r="U33" s="732">
        <v>44010</v>
      </c>
      <c r="V33" s="733" t="s">
        <v>2543</v>
      </c>
      <c r="W33" s="751"/>
      <c r="X33" s="735"/>
      <c r="Y33" s="735"/>
      <c r="Z33" s="735"/>
      <c r="AA33" s="735"/>
      <c r="AB33" s="735"/>
      <c r="AC33" s="740"/>
      <c r="AD33" s="736">
        <v>42550</v>
      </c>
      <c r="AE33" s="737">
        <f t="shared" ca="1" si="1"/>
        <v>-359</v>
      </c>
      <c r="AF33" s="649" t="s">
        <v>2291</v>
      </c>
    </row>
    <row r="34" spans="1:32" s="745" customFormat="1" ht="51" x14ac:dyDescent="0.2">
      <c r="A34" s="742" t="s">
        <v>1899</v>
      </c>
      <c r="B34" s="649" t="s">
        <v>1896</v>
      </c>
      <c r="C34" s="649"/>
      <c r="D34" s="743" t="s">
        <v>1900</v>
      </c>
      <c r="E34" s="743" t="s">
        <v>1901</v>
      </c>
      <c r="F34" s="728">
        <v>7275.72</v>
      </c>
      <c r="G34" s="729">
        <v>355.2</v>
      </c>
      <c r="H34" s="729">
        <v>115.67</v>
      </c>
      <c r="I34" s="729">
        <v>142.74</v>
      </c>
      <c r="J34" s="729">
        <v>348.25</v>
      </c>
      <c r="K34" s="729">
        <v>292.8</v>
      </c>
      <c r="L34" s="729">
        <v>439.32</v>
      </c>
      <c r="M34" s="729">
        <v>249.81</v>
      </c>
      <c r="N34" s="729">
        <v>309.60000000000002</v>
      </c>
      <c r="O34" s="729">
        <v>265.08</v>
      </c>
      <c r="P34" s="729">
        <v>245.16</v>
      </c>
      <c r="Q34" s="729">
        <v>276.70999999999998</v>
      </c>
      <c r="R34" s="729">
        <v>69.31</v>
      </c>
      <c r="S34" s="730">
        <f t="shared" si="0"/>
        <v>3109.6499999999996</v>
      </c>
      <c r="T34" s="731">
        <f t="shared" ca="1" si="2"/>
        <v>-352</v>
      </c>
      <c r="U34" s="732">
        <v>44030</v>
      </c>
      <c r="V34" s="733" t="s">
        <v>2545</v>
      </c>
      <c r="W34" s="751"/>
      <c r="X34" s="735"/>
      <c r="Y34" s="735"/>
      <c r="Z34" s="735"/>
      <c r="AA34" s="735"/>
      <c r="AB34" s="735"/>
      <c r="AC34" s="740"/>
      <c r="AD34" s="736">
        <v>42569</v>
      </c>
      <c r="AE34" s="737">
        <f t="shared" ca="1" si="1"/>
        <v>-378</v>
      </c>
      <c r="AF34" s="649" t="s">
        <v>2291</v>
      </c>
    </row>
    <row r="35" spans="1:32" s="745" customFormat="1" ht="38.25" x14ac:dyDescent="0.2">
      <c r="A35" s="742" t="s">
        <v>1756</v>
      </c>
      <c r="B35" s="649"/>
      <c r="C35" s="649" t="s">
        <v>1757</v>
      </c>
      <c r="D35" s="743" t="s">
        <v>2109</v>
      </c>
      <c r="E35" s="743" t="s">
        <v>1798</v>
      </c>
      <c r="F35" s="728">
        <v>0</v>
      </c>
      <c r="G35" s="729">
        <v>1571.59</v>
      </c>
      <c r="H35" s="729">
        <v>293.11</v>
      </c>
      <c r="I35" s="729">
        <v>0</v>
      </c>
      <c r="J35" s="729">
        <v>0</v>
      </c>
      <c r="K35" s="729">
        <v>0</v>
      </c>
      <c r="L35" s="729">
        <v>0</v>
      </c>
      <c r="M35" s="729">
        <v>0</v>
      </c>
      <c r="N35" s="729">
        <v>0</v>
      </c>
      <c r="O35" s="729">
        <v>0</v>
      </c>
      <c r="P35" s="729">
        <v>0</v>
      </c>
      <c r="Q35" s="729">
        <v>0</v>
      </c>
      <c r="R35" s="729">
        <v>0</v>
      </c>
      <c r="S35" s="730">
        <f t="shared" si="0"/>
        <v>1864.6999999999998</v>
      </c>
      <c r="T35" s="731">
        <f t="shared" ca="1" si="2"/>
        <v>-683</v>
      </c>
      <c r="U35" s="732">
        <v>43699</v>
      </c>
      <c r="V35" s="739" t="s">
        <v>2232</v>
      </c>
      <c r="W35" s="751"/>
      <c r="X35" s="735"/>
      <c r="Y35" s="735"/>
      <c r="Z35" s="735"/>
      <c r="AA35" s="735"/>
      <c r="AB35" s="735"/>
      <c r="AC35" s="740">
        <v>43648</v>
      </c>
      <c r="AD35" s="736">
        <v>42605</v>
      </c>
      <c r="AE35" s="737">
        <f t="shared" ca="1" si="1"/>
        <v>-414</v>
      </c>
      <c r="AF35" s="649" t="s">
        <v>2343</v>
      </c>
    </row>
    <row r="36" spans="1:32" s="745" customFormat="1" ht="38.25" x14ac:dyDescent="0.2">
      <c r="A36" s="742" t="s">
        <v>1916</v>
      </c>
      <c r="B36" s="649"/>
      <c r="C36" s="649" t="s">
        <v>1917</v>
      </c>
      <c r="D36" s="743" t="s">
        <v>1918</v>
      </c>
      <c r="E36" s="743" t="s">
        <v>1919</v>
      </c>
      <c r="F36" s="728">
        <v>0</v>
      </c>
      <c r="G36" s="729">
        <v>0</v>
      </c>
      <c r="H36" s="729">
        <v>0</v>
      </c>
      <c r="I36" s="729">
        <v>0</v>
      </c>
      <c r="J36" s="729">
        <v>3565</v>
      </c>
      <c r="K36" s="729">
        <v>0</v>
      </c>
      <c r="L36" s="729">
        <v>1560</v>
      </c>
      <c r="M36" s="729">
        <v>0</v>
      </c>
      <c r="N36" s="729">
        <v>0</v>
      </c>
      <c r="O36" s="729">
        <v>0</v>
      </c>
      <c r="P36" s="729">
        <v>1765</v>
      </c>
      <c r="Q36" s="729">
        <v>0</v>
      </c>
      <c r="R36" s="729">
        <v>5000</v>
      </c>
      <c r="S36" s="730">
        <f t="shared" si="0"/>
        <v>11890</v>
      </c>
      <c r="T36" s="731">
        <f t="shared" ca="1" si="2"/>
        <v>-317</v>
      </c>
      <c r="U36" s="732">
        <v>44065</v>
      </c>
      <c r="V36" s="733" t="s">
        <v>2547</v>
      </c>
      <c r="W36" s="751"/>
      <c r="X36" s="735"/>
      <c r="Y36" s="735"/>
      <c r="Z36" s="735"/>
      <c r="AA36" s="735"/>
      <c r="AB36" s="735"/>
      <c r="AC36" s="740"/>
      <c r="AD36" s="736">
        <v>42605</v>
      </c>
      <c r="AE36" s="737">
        <f t="shared" ca="1" si="1"/>
        <v>-414</v>
      </c>
      <c r="AF36" s="649"/>
    </row>
    <row r="37" spans="1:32" s="745" customFormat="1" ht="38.25" x14ac:dyDescent="0.2">
      <c r="A37" s="742" t="s">
        <v>1916</v>
      </c>
      <c r="B37" s="649"/>
      <c r="C37" s="649" t="s">
        <v>1917</v>
      </c>
      <c r="D37" s="743" t="s">
        <v>1921</v>
      </c>
      <c r="E37" s="743" t="s">
        <v>1919</v>
      </c>
      <c r="F37" s="728">
        <v>0</v>
      </c>
      <c r="G37" s="729">
        <v>0</v>
      </c>
      <c r="H37" s="729">
        <v>0</v>
      </c>
      <c r="I37" s="729">
        <v>1360</v>
      </c>
      <c r="J37" s="729">
        <v>0</v>
      </c>
      <c r="K37" s="729">
        <v>0</v>
      </c>
      <c r="L37" s="729">
        <v>0</v>
      </c>
      <c r="M37" s="729">
        <v>0</v>
      </c>
      <c r="N37" s="729">
        <v>0</v>
      </c>
      <c r="O37" s="729">
        <v>0</v>
      </c>
      <c r="P37" s="729">
        <v>0</v>
      </c>
      <c r="Q37" s="729">
        <v>0</v>
      </c>
      <c r="R37" s="729">
        <v>14521</v>
      </c>
      <c r="S37" s="730">
        <f t="shared" ref="S37:S81" si="3">SUM(G37:R37)</f>
        <v>15881</v>
      </c>
      <c r="T37" s="731">
        <f t="shared" ca="1" si="2"/>
        <v>-317</v>
      </c>
      <c r="U37" s="732">
        <v>44065</v>
      </c>
      <c r="V37" s="733" t="s">
        <v>2547</v>
      </c>
      <c r="W37" s="751"/>
      <c r="X37" s="735"/>
      <c r="Y37" s="735"/>
      <c r="Z37" s="735"/>
      <c r="AA37" s="735"/>
      <c r="AB37" s="735"/>
      <c r="AC37" s="740"/>
      <c r="AD37" s="736">
        <v>42605</v>
      </c>
      <c r="AE37" s="737">
        <f t="shared" ca="1" si="1"/>
        <v>-414</v>
      </c>
      <c r="AF37" s="649"/>
    </row>
    <row r="38" spans="1:32" s="745" customFormat="1" ht="38.25" x14ac:dyDescent="0.2">
      <c r="A38" s="742" t="s">
        <v>1916</v>
      </c>
      <c r="B38" s="649"/>
      <c r="C38" s="649" t="s">
        <v>1917</v>
      </c>
      <c r="D38" s="743" t="s">
        <v>1923</v>
      </c>
      <c r="E38" s="743" t="s">
        <v>1919</v>
      </c>
      <c r="F38" s="728">
        <v>0</v>
      </c>
      <c r="G38" s="729">
        <v>0</v>
      </c>
      <c r="H38" s="729">
        <v>0</v>
      </c>
      <c r="I38" s="729">
        <v>0</v>
      </c>
      <c r="J38" s="729">
        <v>0</v>
      </c>
      <c r="K38" s="729">
        <v>500</v>
      </c>
      <c r="L38" s="729">
        <v>0</v>
      </c>
      <c r="M38" s="729">
        <v>0</v>
      </c>
      <c r="N38" s="729">
        <v>0</v>
      </c>
      <c r="O38" s="729">
        <v>0</v>
      </c>
      <c r="P38" s="729">
        <v>0</v>
      </c>
      <c r="Q38" s="729">
        <v>0</v>
      </c>
      <c r="R38" s="729">
        <v>0</v>
      </c>
      <c r="S38" s="730">
        <f t="shared" si="3"/>
        <v>500</v>
      </c>
      <c r="T38" s="731">
        <f t="shared" ca="1" si="2"/>
        <v>-317</v>
      </c>
      <c r="U38" s="732">
        <v>44065</v>
      </c>
      <c r="V38" s="733" t="s">
        <v>2547</v>
      </c>
      <c r="W38" s="751"/>
      <c r="X38" s="735"/>
      <c r="Y38" s="735"/>
      <c r="Z38" s="735"/>
      <c r="AA38" s="735"/>
      <c r="AB38" s="735"/>
      <c r="AC38" s="740"/>
      <c r="AD38" s="736">
        <v>42605</v>
      </c>
      <c r="AE38" s="737">
        <f t="shared" ca="1" si="1"/>
        <v>-414</v>
      </c>
      <c r="AF38" s="649"/>
    </row>
    <row r="39" spans="1:32" s="745" customFormat="1" ht="38.25" x14ac:dyDescent="0.2">
      <c r="A39" s="742" t="s">
        <v>1916</v>
      </c>
      <c r="B39" s="649"/>
      <c r="C39" s="649" t="s">
        <v>1917</v>
      </c>
      <c r="D39" s="743" t="s">
        <v>1924</v>
      </c>
      <c r="E39" s="743" t="s">
        <v>1919</v>
      </c>
      <c r="F39" s="728">
        <v>0</v>
      </c>
      <c r="G39" s="729">
        <v>0</v>
      </c>
      <c r="H39" s="729">
        <v>0</v>
      </c>
      <c r="I39" s="729">
        <v>0</v>
      </c>
      <c r="J39" s="729">
        <v>0</v>
      </c>
      <c r="K39" s="729">
        <v>0</v>
      </c>
      <c r="L39" s="729">
        <v>0</v>
      </c>
      <c r="M39" s="729">
        <v>0</v>
      </c>
      <c r="N39" s="729">
        <v>0</v>
      </c>
      <c r="O39" s="729">
        <v>0</v>
      </c>
      <c r="P39" s="729">
        <v>500</v>
      </c>
      <c r="Q39" s="729">
        <v>3500</v>
      </c>
      <c r="R39" s="729">
        <v>7496</v>
      </c>
      <c r="S39" s="730">
        <f t="shared" si="3"/>
        <v>11496</v>
      </c>
      <c r="T39" s="731">
        <f t="shared" ca="1" si="2"/>
        <v>-317</v>
      </c>
      <c r="U39" s="732">
        <v>44065</v>
      </c>
      <c r="V39" s="733" t="s">
        <v>2547</v>
      </c>
      <c r="W39" s="751"/>
      <c r="X39" s="735"/>
      <c r="Y39" s="735"/>
      <c r="Z39" s="735"/>
      <c r="AA39" s="735"/>
      <c r="AB39" s="735"/>
      <c r="AC39" s="740"/>
      <c r="AD39" s="736">
        <v>42605</v>
      </c>
      <c r="AE39" s="737">
        <f t="shared" ca="1" si="1"/>
        <v>-414</v>
      </c>
      <c r="AF39" s="649"/>
    </row>
    <row r="40" spans="1:32" s="745" customFormat="1" ht="38.25" x14ac:dyDescent="0.2">
      <c r="A40" s="742" t="s">
        <v>1916</v>
      </c>
      <c r="B40" s="649"/>
      <c r="C40" s="649" t="s">
        <v>1917</v>
      </c>
      <c r="D40" s="743" t="s">
        <v>1928</v>
      </c>
      <c r="E40" s="743" t="s">
        <v>1919</v>
      </c>
      <c r="F40" s="728">
        <v>0</v>
      </c>
      <c r="G40" s="729">
        <v>0</v>
      </c>
      <c r="H40" s="729">
        <v>0</v>
      </c>
      <c r="I40" s="729">
        <v>807</v>
      </c>
      <c r="J40" s="729">
        <v>0</v>
      </c>
      <c r="K40" s="729">
        <v>0</v>
      </c>
      <c r="L40" s="729">
        <v>0</v>
      </c>
      <c r="M40" s="729">
        <v>0</v>
      </c>
      <c r="N40" s="729">
        <v>0</v>
      </c>
      <c r="O40" s="729">
        <v>0</v>
      </c>
      <c r="P40" s="729">
        <v>0</v>
      </c>
      <c r="Q40" s="729">
        <v>0</v>
      </c>
      <c r="R40" s="729">
        <v>0</v>
      </c>
      <c r="S40" s="730">
        <f t="shared" si="3"/>
        <v>807</v>
      </c>
      <c r="T40" s="731">
        <f t="shared" ca="1" si="2"/>
        <v>-683</v>
      </c>
      <c r="U40" s="732">
        <v>43699</v>
      </c>
      <c r="V40" s="739" t="s">
        <v>2227</v>
      </c>
      <c r="W40" s="751"/>
      <c r="X40" s="735"/>
      <c r="Y40" s="735"/>
      <c r="Z40" s="735"/>
      <c r="AA40" s="735"/>
      <c r="AB40" s="735"/>
      <c r="AC40" s="740">
        <v>43648</v>
      </c>
      <c r="AD40" s="736">
        <v>42605</v>
      </c>
      <c r="AE40" s="737">
        <f t="shared" ca="1" si="1"/>
        <v>-414</v>
      </c>
      <c r="AF40" s="649"/>
    </row>
    <row r="41" spans="1:32" s="745" customFormat="1" ht="38.25" x14ac:dyDescent="0.2">
      <c r="A41" s="742" t="s">
        <v>1916</v>
      </c>
      <c r="B41" s="649"/>
      <c r="C41" s="649" t="s">
        <v>1917</v>
      </c>
      <c r="D41" s="743" t="s">
        <v>1931</v>
      </c>
      <c r="E41" s="743" t="s">
        <v>1919</v>
      </c>
      <c r="F41" s="728">
        <v>0</v>
      </c>
      <c r="G41" s="729">
        <v>0</v>
      </c>
      <c r="H41" s="729">
        <v>0</v>
      </c>
      <c r="I41" s="729">
        <v>0</v>
      </c>
      <c r="J41" s="729">
        <v>0</v>
      </c>
      <c r="K41" s="729">
        <v>0</v>
      </c>
      <c r="L41" s="729">
        <v>0</v>
      </c>
      <c r="M41" s="729">
        <v>0</v>
      </c>
      <c r="N41" s="729">
        <v>0</v>
      </c>
      <c r="O41" s="729">
        <v>5820</v>
      </c>
      <c r="P41" s="729">
        <v>0</v>
      </c>
      <c r="Q41" s="729">
        <v>0</v>
      </c>
      <c r="R41" s="729">
        <v>0</v>
      </c>
      <c r="S41" s="730">
        <f t="shared" si="3"/>
        <v>5820</v>
      </c>
      <c r="T41" s="731">
        <f t="shared" ca="1" si="2"/>
        <v>-317</v>
      </c>
      <c r="U41" s="732">
        <v>44065</v>
      </c>
      <c r="V41" s="733" t="s">
        <v>2547</v>
      </c>
      <c r="W41" s="751"/>
      <c r="X41" s="735"/>
      <c r="Y41" s="735"/>
      <c r="Z41" s="735"/>
      <c r="AA41" s="735"/>
      <c r="AB41" s="735"/>
      <c r="AC41" s="740"/>
      <c r="AD41" s="736">
        <v>42605</v>
      </c>
      <c r="AE41" s="737">
        <f t="shared" ref="AE41:AE90" ca="1" si="4">TODAY()-DATE(YEAR(AD41)+6,MONTH(AD41),DAY(AD41))</f>
        <v>-414</v>
      </c>
      <c r="AF41" s="649"/>
    </row>
    <row r="42" spans="1:32" s="745" customFormat="1" ht="38.25" x14ac:dyDescent="0.2">
      <c r="A42" s="742" t="s">
        <v>1756</v>
      </c>
      <c r="B42" s="649"/>
      <c r="C42" s="649" t="s">
        <v>1757</v>
      </c>
      <c r="D42" s="743" t="s">
        <v>1955</v>
      </c>
      <c r="E42" s="743" t="s">
        <v>1798</v>
      </c>
      <c r="F42" s="728" t="s">
        <v>314</v>
      </c>
      <c r="G42" s="729">
        <v>119.91</v>
      </c>
      <c r="H42" s="729">
        <v>0</v>
      </c>
      <c r="I42" s="729">
        <v>907.96</v>
      </c>
      <c r="J42" s="729">
        <v>1667.96</v>
      </c>
      <c r="K42" s="729">
        <v>0</v>
      </c>
      <c r="L42" s="729">
        <v>0</v>
      </c>
      <c r="M42" s="729">
        <v>0</v>
      </c>
      <c r="N42" s="729">
        <v>0</v>
      </c>
      <c r="O42" s="729">
        <v>0</v>
      </c>
      <c r="P42" s="729">
        <v>0</v>
      </c>
      <c r="Q42" s="729">
        <v>0</v>
      </c>
      <c r="R42" s="729">
        <v>0</v>
      </c>
      <c r="S42" s="730">
        <f t="shared" si="3"/>
        <v>2695.83</v>
      </c>
      <c r="T42" s="731">
        <f t="shared" ref="T42:T95" ca="1" si="5">U42-$AE$3</f>
        <v>-883</v>
      </c>
      <c r="U42" s="732">
        <v>43499</v>
      </c>
      <c r="V42" s="739" t="s">
        <v>2268</v>
      </c>
      <c r="W42" s="751"/>
      <c r="X42" s="735"/>
      <c r="Y42" s="735"/>
      <c r="Z42" s="735"/>
      <c r="AA42" s="735"/>
      <c r="AB42" s="735"/>
      <c r="AC42" s="740">
        <v>43451</v>
      </c>
      <c r="AD42" s="736">
        <v>42404</v>
      </c>
      <c r="AE42" s="737">
        <f t="shared" ca="1" si="4"/>
        <v>-214</v>
      </c>
      <c r="AF42" s="649" t="s">
        <v>2343</v>
      </c>
    </row>
    <row r="43" spans="1:32" s="745" customFormat="1" ht="38.25" x14ac:dyDescent="0.2">
      <c r="A43" s="742" t="s">
        <v>1756</v>
      </c>
      <c r="B43" s="649"/>
      <c r="C43" s="649" t="s">
        <v>1757</v>
      </c>
      <c r="D43" s="743" t="s">
        <v>1957</v>
      </c>
      <c r="E43" s="743" t="s">
        <v>1798</v>
      </c>
      <c r="F43" s="728" t="s">
        <v>314</v>
      </c>
      <c r="G43" s="729">
        <v>0</v>
      </c>
      <c r="H43" s="729">
        <v>0</v>
      </c>
      <c r="I43" s="729">
        <v>0</v>
      </c>
      <c r="J43" s="729">
        <v>0</v>
      </c>
      <c r="K43" s="729">
        <v>0</v>
      </c>
      <c r="L43" s="729">
        <v>0</v>
      </c>
      <c r="M43" s="729">
        <v>0</v>
      </c>
      <c r="N43" s="729">
        <v>0</v>
      </c>
      <c r="O43" s="729">
        <v>0</v>
      </c>
      <c r="P43" s="729">
        <v>0</v>
      </c>
      <c r="Q43" s="729">
        <v>0</v>
      </c>
      <c r="R43" s="729">
        <v>0</v>
      </c>
      <c r="S43" s="730">
        <f t="shared" si="3"/>
        <v>0</v>
      </c>
      <c r="T43" s="731">
        <f t="shared" ca="1" si="5"/>
        <v>-883</v>
      </c>
      <c r="U43" s="732">
        <v>43499</v>
      </c>
      <c r="V43" s="739" t="s">
        <v>2268</v>
      </c>
      <c r="W43" s="751"/>
      <c r="X43" s="735"/>
      <c r="Y43" s="735"/>
      <c r="Z43" s="735"/>
      <c r="AA43" s="735"/>
      <c r="AB43" s="735"/>
      <c r="AC43" s="740">
        <v>43451</v>
      </c>
      <c r="AD43" s="736">
        <v>42404</v>
      </c>
      <c r="AE43" s="737">
        <f t="shared" ca="1" si="4"/>
        <v>-214</v>
      </c>
      <c r="AF43" s="649" t="s">
        <v>2343</v>
      </c>
    </row>
    <row r="44" spans="1:32" s="745" customFormat="1" ht="51" x14ac:dyDescent="0.2">
      <c r="A44" s="742" t="s">
        <v>1960</v>
      </c>
      <c r="B44" s="649"/>
      <c r="C44" s="649" t="s">
        <v>1961</v>
      </c>
      <c r="D44" s="743" t="s">
        <v>1269</v>
      </c>
      <c r="E44" s="743" t="s">
        <v>1963</v>
      </c>
      <c r="F44" s="728">
        <v>31672.66</v>
      </c>
      <c r="G44" s="729">
        <v>2544.1</v>
      </c>
      <c r="H44" s="729">
        <f>2544.1+2544.1</f>
        <v>5088.2</v>
      </c>
      <c r="I44" s="729">
        <v>1131.1199999999999</v>
      </c>
      <c r="J44" s="729">
        <v>2639.39</v>
      </c>
      <c r="K44" s="729">
        <v>2639.39</v>
      </c>
      <c r="L44" s="729">
        <v>2639.39</v>
      </c>
      <c r="M44" s="729">
        <v>2639.39</v>
      </c>
      <c r="N44" s="729">
        <v>2639.39</v>
      </c>
      <c r="O44" s="729">
        <v>2639.39</v>
      </c>
      <c r="P44" s="729">
        <v>2639.39</v>
      </c>
      <c r="Q44" s="729">
        <v>2639.39</v>
      </c>
      <c r="R44" s="729">
        <v>0</v>
      </c>
      <c r="S44" s="730">
        <f t="shared" si="3"/>
        <v>29878.539999999994</v>
      </c>
      <c r="T44" s="731">
        <f t="shared" ca="1" si="5"/>
        <v>-505</v>
      </c>
      <c r="U44" s="732">
        <v>43877</v>
      </c>
      <c r="V44" s="733" t="s">
        <v>2387</v>
      </c>
      <c r="W44" s="751"/>
      <c r="X44" s="735"/>
      <c r="Y44" s="735"/>
      <c r="Z44" s="735"/>
      <c r="AA44" s="735"/>
      <c r="AB44" s="735"/>
      <c r="AC44" s="740"/>
      <c r="AD44" s="736">
        <v>42417</v>
      </c>
      <c r="AE44" s="737">
        <f t="shared" ca="1" si="4"/>
        <v>-227</v>
      </c>
      <c r="AF44" s="649" t="s">
        <v>2313</v>
      </c>
    </row>
    <row r="45" spans="1:32" s="745" customFormat="1" ht="51" x14ac:dyDescent="0.2">
      <c r="A45" s="742" t="s">
        <v>1976</v>
      </c>
      <c r="B45" s="649"/>
      <c r="C45" s="649" t="s">
        <v>1980</v>
      </c>
      <c r="D45" s="743" t="s">
        <v>1977</v>
      </c>
      <c r="E45" s="743" t="s">
        <v>1978</v>
      </c>
      <c r="F45" s="728">
        <v>364512.88</v>
      </c>
      <c r="G45" s="729">
        <v>0</v>
      </c>
      <c r="H45" s="729">
        <v>0</v>
      </c>
      <c r="I45" s="729">
        <v>0</v>
      </c>
      <c r="J45" s="729">
        <v>0</v>
      </c>
      <c r="K45" s="729">
        <v>0</v>
      </c>
      <c r="L45" s="729">
        <v>0</v>
      </c>
      <c r="M45" s="729">
        <v>0</v>
      </c>
      <c r="N45" s="729">
        <v>0</v>
      </c>
      <c r="O45" s="729">
        <v>0</v>
      </c>
      <c r="P45" s="729">
        <v>0</v>
      </c>
      <c r="Q45" s="729">
        <v>0</v>
      </c>
      <c r="R45" s="729">
        <v>0</v>
      </c>
      <c r="S45" s="730">
        <f t="shared" si="3"/>
        <v>0</v>
      </c>
      <c r="T45" s="749">
        <f t="shared" ca="1" si="5"/>
        <v>-1293</v>
      </c>
      <c r="U45" s="732">
        <v>43089</v>
      </c>
      <c r="V45" s="733" t="s">
        <v>1979</v>
      </c>
      <c r="W45" s="751"/>
      <c r="X45" s="735"/>
      <c r="Y45" s="735"/>
      <c r="Z45" s="735"/>
      <c r="AA45" s="735"/>
      <c r="AB45" s="735"/>
      <c r="AC45" s="740">
        <v>43045</v>
      </c>
      <c r="AD45" s="736">
        <v>42725</v>
      </c>
      <c r="AE45" s="750">
        <f t="shared" ca="1" si="4"/>
        <v>-534</v>
      </c>
      <c r="AF45" s="649"/>
    </row>
    <row r="46" spans="1:32" s="745" customFormat="1" ht="51" x14ac:dyDescent="0.2">
      <c r="A46" s="742" t="s">
        <v>1976</v>
      </c>
      <c r="B46" s="649"/>
      <c r="C46" s="649" t="s">
        <v>1980</v>
      </c>
      <c r="D46" s="743" t="s">
        <v>1547</v>
      </c>
      <c r="E46" s="743" t="s">
        <v>2128</v>
      </c>
      <c r="F46" s="728">
        <v>89766.06</v>
      </c>
      <c r="G46" s="729">
        <v>0</v>
      </c>
      <c r="H46" s="729">
        <v>0</v>
      </c>
      <c r="I46" s="729">
        <v>0</v>
      </c>
      <c r="J46" s="729">
        <v>0</v>
      </c>
      <c r="K46" s="729">
        <v>0</v>
      </c>
      <c r="L46" s="729">
        <v>0</v>
      </c>
      <c r="M46" s="729">
        <v>0</v>
      </c>
      <c r="N46" s="729">
        <v>0</v>
      </c>
      <c r="O46" s="729">
        <v>0</v>
      </c>
      <c r="P46" s="729">
        <v>0</v>
      </c>
      <c r="Q46" s="729">
        <v>0</v>
      </c>
      <c r="R46" s="729">
        <v>0</v>
      </c>
      <c r="S46" s="730">
        <f t="shared" si="3"/>
        <v>0</v>
      </c>
      <c r="T46" s="731">
        <f t="shared" ca="1" si="5"/>
        <v>-773</v>
      </c>
      <c r="U46" s="732">
        <v>43609</v>
      </c>
      <c r="V46" s="739" t="s">
        <v>2147</v>
      </c>
      <c r="W46" s="751"/>
      <c r="X46" s="735"/>
      <c r="Y46" s="735"/>
      <c r="Z46" s="735"/>
      <c r="AA46" s="735"/>
      <c r="AB46" s="735"/>
      <c r="AC46" s="740">
        <v>43551</v>
      </c>
      <c r="AD46" s="736">
        <v>42725</v>
      </c>
      <c r="AE46" s="737">
        <f t="shared" ca="1" si="4"/>
        <v>-534</v>
      </c>
      <c r="AF46" s="649" t="s">
        <v>2291</v>
      </c>
    </row>
    <row r="47" spans="1:32" s="745" customFormat="1" ht="38.25" x14ac:dyDescent="0.2">
      <c r="A47" s="742" t="s">
        <v>2002</v>
      </c>
      <c r="B47" s="649" t="s">
        <v>1840</v>
      </c>
      <c r="C47" s="649"/>
      <c r="D47" s="743" t="s">
        <v>2004</v>
      </c>
      <c r="E47" s="743" t="s">
        <v>1210</v>
      </c>
      <c r="F47" s="728">
        <v>3543.24</v>
      </c>
      <c r="G47" s="729">
        <v>295.27</v>
      </c>
      <c r="H47" s="729">
        <v>295.27</v>
      </c>
      <c r="I47" s="729">
        <v>295.27</v>
      </c>
      <c r="J47" s="729">
        <v>315.20999999999998</v>
      </c>
      <c r="K47" s="729">
        <v>315.20999999999998</v>
      </c>
      <c r="L47" s="729">
        <v>315.20999999999998</v>
      </c>
      <c r="M47" s="729">
        <v>315.20999999999998</v>
      </c>
      <c r="N47" s="729">
        <v>315.20999999999998</v>
      </c>
      <c r="O47" s="729">
        <v>315.20999999999998</v>
      </c>
      <c r="P47" s="729">
        <v>315.20999999999998</v>
      </c>
      <c r="Q47" s="729">
        <v>315.20999999999998</v>
      </c>
      <c r="R47" s="729">
        <v>315.20999999999998</v>
      </c>
      <c r="S47" s="730">
        <f>SUM(G47:R47)</f>
        <v>3722.7000000000003</v>
      </c>
      <c r="T47" s="731">
        <f t="shared" ca="1" si="5"/>
        <v>-493</v>
      </c>
      <c r="U47" s="732">
        <v>43889</v>
      </c>
      <c r="V47" s="733" t="s">
        <v>2403</v>
      </c>
      <c r="W47" s="751"/>
      <c r="X47" s="735"/>
      <c r="Y47" s="735"/>
      <c r="Z47" s="735"/>
      <c r="AA47" s="735"/>
      <c r="AB47" s="735"/>
      <c r="AC47" s="740"/>
      <c r="AD47" s="736">
        <v>42795</v>
      </c>
      <c r="AE47" s="737">
        <f t="shared" ca="1" si="4"/>
        <v>-604</v>
      </c>
      <c r="AF47" s="649" t="s">
        <v>2383</v>
      </c>
    </row>
    <row r="48" spans="1:32" s="745" customFormat="1" ht="38.25" x14ac:dyDescent="0.2">
      <c r="A48" s="742" t="s">
        <v>2010</v>
      </c>
      <c r="B48" s="649" t="s">
        <v>2011</v>
      </c>
      <c r="C48" s="649"/>
      <c r="D48" s="743" t="s">
        <v>340</v>
      </c>
      <c r="E48" s="743" t="s">
        <v>2012</v>
      </c>
      <c r="F48" s="728">
        <v>25199.16</v>
      </c>
      <c r="G48" s="729">
        <v>2027.78</v>
      </c>
      <c r="H48" s="729">
        <v>2027.78</v>
      </c>
      <c r="I48" s="729">
        <v>2027.78</v>
      </c>
      <c r="J48" s="729">
        <v>2027.78</v>
      </c>
      <c r="K48" s="729">
        <v>2099.9299999999998</v>
      </c>
      <c r="L48" s="729">
        <f>2027.78+2027.78</f>
        <v>4055.56</v>
      </c>
      <c r="M48" s="729">
        <v>2099.9299999999998</v>
      </c>
      <c r="N48" s="729">
        <v>2099.9299999999998</v>
      </c>
      <c r="O48" s="729">
        <v>2099.9299999999998</v>
      </c>
      <c r="P48" s="729">
        <v>2099.9299999999998</v>
      </c>
      <c r="Q48" s="729">
        <v>2099.9299999999998</v>
      </c>
      <c r="R48" s="729">
        <v>2099.9299999999998</v>
      </c>
      <c r="S48" s="730">
        <f t="shared" si="3"/>
        <v>26866.19</v>
      </c>
      <c r="T48" s="731">
        <f t="shared" ca="1" si="5"/>
        <v>-469</v>
      </c>
      <c r="U48" s="732">
        <v>43913</v>
      </c>
      <c r="V48" s="733" t="s">
        <v>2381</v>
      </c>
      <c r="W48" s="751"/>
      <c r="X48" s="735"/>
      <c r="Y48" s="735"/>
      <c r="Z48" s="735"/>
      <c r="AA48" s="735"/>
      <c r="AB48" s="735"/>
      <c r="AC48" s="740"/>
      <c r="AD48" s="736">
        <v>42818</v>
      </c>
      <c r="AE48" s="737">
        <f t="shared" ca="1" si="4"/>
        <v>-627</v>
      </c>
      <c r="AF48" s="649" t="s">
        <v>2307</v>
      </c>
    </row>
    <row r="49" spans="1:32" s="745" customFormat="1" ht="25.5" x14ac:dyDescent="0.2">
      <c r="A49" s="742" t="s">
        <v>1756</v>
      </c>
      <c r="B49" s="649"/>
      <c r="C49" s="649"/>
      <c r="D49" s="743" t="s">
        <v>2039</v>
      </c>
      <c r="E49" s="743" t="s">
        <v>1798</v>
      </c>
      <c r="F49" s="728">
        <v>0</v>
      </c>
      <c r="G49" s="729">
        <v>800</v>
      </c>
      <c r="H49" s="729">
        <v>0</v>
      </c>
      <c r="I49" s="729">
        <v>300</v>
      </c>
      <c r="J49" s="729">
        <v>0</v>
      </c>
      <c r="K49" s="729">
        <v>0</v>
      </c>
      <c r="L49" s="729">
        <v>0</v>
      </c>
      <c r="M49" s="729">
        <v>0</v>
      </c>
      <c r="N49" s="729">
        <v>0</v>
      </c>
      <c r="O49" s="729">
        <v>0</v>
      </c>
      <c r="P49" s="729">
        <v>0</v>
      </c>
      <c r="Q49" s="729">
        <v>0</v>
      </c>
      <c r="R49" s="729">
        <v>0</v>
      </c>
      <c r="S49" s="730">
        <f t="shared" si="3"/>
        <v>1100</v>
      </c>
      <c r="T49" s="731">
        <f t="shared" ca="1" si="5"/>
        <v>-758</v>
      </c>
      <c r="U49" s="732">
        <v>43624</v>
      </c>
      <c r="V49" s="739" t="s">
        <v>2231</v>
      </c>
      <c r="W49" s="751"/>
      <c r="X49" s="735"/>
      <c r="Y49" s="735"/>
      <c r="Z49" s="735"/>
      <c r="AA49" s="735"/>
      <c r="AB49" s="735"/>
      <c r="AC49" s="740">
        <v>43566</v>
      </c>
      <c r="AD49" s="736">
        <v>42895</v>
      </c>
      <c r="AE49" s="737">
        <f t="shared" ca="1" si="4"/>
        <v>-704</v>
      </c>
      <c r="AF49" s="649" t="s">
        <v>2343</v>
      </c>
    </row>
    <row r="50" spans="1:32" s="745" customFormat="1" ht="38.25" x14ac:dyDescent="0.2">
      <c r="A50" s="742" t="s">
        <v>2047</v>
      </c>
      <c r="B50" s="649" t="s">
        <v>1840</v>
      </c>
      <c r="C50" s="649"/>
      <c r="D50" s="743" t="s">
        <v>2048</v>
      </c>
      <c r="E50" s="743" t="s">
        <v>2049</v>
      </c>
      <c r="F50" s="728">
        <v>10707</v>
      </c>
      <c r="G50" s="729">
        <v>0</v>
      </c>
      <c r="H50" s="729">
        <v>0</v>
      </c>
      <c r="I50" s="729">
        <v>0</v>
      </c>
      <c r="J50" s="729">
        <v>0</v>
      </c>
      <c r="K50" s="729">
        <v>0</v>
      </c>
      <c r="L50" s="729">
        <v>0</v>
      </c>
      <c r="M50" s="729">
        <v>0</v>
      </c>
      <c r="N50" s="729">
        <v>0</v>
      </c>
      <c r="O50" s="729">
        <v>0</v>
      </c>
      <c r="P50" s="729">
        <v>0</v>
      </c>
      <c r="Q50" s="729">
        <v>0</v>
      </c>
      <c r="R50" s="729">
        <v>0</v>
      </c>
      <c r="S50" s="730">
        <f t="shared" si="3"/>
        <v>0</v>
      </c>
      <c r="T50" s="749">
        <f t="shared" ca="1" si="5"/>
        <v>-354</v>
      </c>
      <c r="U50" s="732">
        <v>44028</v>
      </c>
      <c r="V50" s="733" t="s">
        <v>2050</v>
      </c>
      <c r="W50" s="751"/>
      <c r="X50" s="735"/>
      <c r="Y50" s="735"/>
      <c r="Z50" s="735"/>
      <c r="AA50" s="735"/>
      <c r="AB50" s="735"/>
      <c r="AC50" s="740"/>
      <c r="AD50" s="736">
        <v>42933</v>
      </c>
      <c r="AE50" s="750">
        <f t="shared" ca="1" si="4"/>
        <v>-742</v>
      </c>
      <c r="AF50" s="649" t="s">
        <v>2379</v>
      </c>
    </row>
    <row r="51" spans="1:32" s="745" customFormat="1" ht="38.25" x14ac:dyDescent="0.2">
      <c r="A51" s="742" t="s">
        <v>1756</v>
      </c>
      <c r="B51" s="649"/>
      <c r="C51" s="649" t="s">
        <v>1757</v>
      </c>
      <c r="D51" s="743" t="s">
        <v>2055</v>
      </c>
      <c r="E51" s="743" t="s">
        <v>1798</v>
      </c>
      <c r="F51" s="728">
        <v>0</v>
      </c>
      <c r="G51" s="729">
        <v>757.14</v>
      </c>
      <c r="H51" s="729">
        <v>257.17</v>
      </c>
      <c r="I51" s="729">
        <f>500+363.11</f>
        <v>863.11</v>
      </c>
      <c r="J51" s="729">
        <v>0</v>
      </c>
      <c r="K51" s="729">
        <v>800</v>
      </c>
      <c r="L51" s="729">
        <v>0</v>
      </c>
      <c r="M51" s="729">
        <v>0</v>
      </c>
      <c r="N51" s="729">
        <v>329.13</v>
      </c>
      <c r="O51" s="729">
        <v>0</v>
      </c>
      <c r="P51" s="729">
        <v>0</v>
      </c>
      <c r="Q51" s="729">
        <v>1672.34</v>
      </c>
      <c r="R51" s="729">
        <v>0</v>
      </c>
      <c r="S51" s="730">
        <f t="shared" si="3"/>
        <v>4678.8900000000003</v>
      </c>
      <c r="T51" s="731">
        <f t="shared" ca="1" si="5"/>
        <v>-677</v>
      </c>
      <c r="U51" s="732">
        <v>43705</v>
      </c>
      <c r="V51" s="739" t="s">
        <v>2231</v>
      </c>
      <c r="W51" s="751"/>
      <c r="X51" s="735"/>
      <c r="Y51" s="735"/>
      <c r="Z51" s="735"/>
      <c r="AA51" s="735"/>
      <c r="AB51" s="735"/>
      <c r="AC51" s="740">
        <v>43648</v>
      </c>
      <c r="AD51" s="736">
        <v>42976</v>
      </c>
      <c r="AE51" s="737">
        <f t="shared" ca="1" si="4"/>
        <v>-785</v>
      </c>
      <c r="AF51" s="649" t="s">
        <v>2343</v>
      </c>
    </row>
    <row r="52" spans="1:32" s="745" customFormat="1" ht="51" x14ac:dyDescent="0.2">
      <c r="A52" s="742" t="s">
        <v>2061</v>
      </c>
      <c r="B52" s="649" t="s">
        <v>2062</v>
      </c>
      <c r="C52" s="649"/>
      <c r="D52" s="743" t="s">
        <v>2063</v>
      </c>
      <c r="E52" s="743" t="s">
        <v>2145</v>
      </c>
      <c r="F52" s="728" t="s">
        <v>2070</v>
      </c>
      <c r="G52" s="729">
        <v>0</v>
      </c>
      <c r="H52" s="729">
        <v>342</v>
      </c>
      <c r="I52" s="729">
        <v>317</v>
      </c>
      <c r="J52" s="729">
        <v>181</v>
      </c>
      <c r="K52" s="729">
        <v>364</v>
      </c>
      <c r="L52" s="729">
        <v>236</v>
      </c>
      <c r="M52" s="729">
        <v>124</v>
      </c>
      <c r="N52" s="729">
        <f>300+3643+115</f>
        <v>4058</v>
      </c>
      <c r="O52" s="729">
        <v>242.2</v>
      </c>
      <c r="P52" s="729">
        <v>296</v>
      </c>
      <c r="Q52" s="729">
        <f>114+470</f>
        <v>584</v>
      </c>
      <c r="R52" s="729">
        <v>149</v>
      </c>
      <c r="S52" s="730">
        <f t="shared" si="3"/>
        <v>6893.2</v>
      </c>
      <c r="T52" s="731">
        <f t="shared" ca="1" si="5"/>
        <v>-1039</v>
      </c>
      <c r="U52" s="732">
        <v>43343</v>
      </c>
      <c r="V52" s="739" t="s">
        <v>2065</v>
      </c>
      <c r="W52" s="751"/>
      <c r="X52" s="735"/>
      <c r="Y52" s="735"/>
      <c r="Z52" s="735"/>
      <c r="AA52" s="735"/>
      <c r="AB52" s="735"/>
      <c r="AC52" s="740">
        <v>43299</v>
      </c>
      <c r="AD52" s="736">
        <v>42979</v>
      </c>
      <c r="AE52" s="737">
        <f t="shared" ca="1" si="4"/>
        <v>-788</v>
      </c>
      <c r="AF52" s="649" t="s">
        <v>2291</v>
      </c>
    </row>
    <row r="53" spans="1:32" s="745" customFormat="1" ht="51" x14ac:dyDescent="0.2">
      <c r="A53" s="742" t="s">
        <v>2066</v>
      </c>
      <c r="B53" s="649"/>
      <c r="C53" s="649" t="s">
        <v>2067</v>
      </c>
      <c r="D53" s="743" t="s">
        <v>2068</v>
      </c>
      <c r="E53" s="743" t="s">
        <v>2069</v>
      </c>
      <c r="F53" s="728" t="s">
        <v>2071</v>
      </c>
      <c r="G53" s="729">
        <f>564.79+79.79+39.88</f>
        <v>684.45999999999992</v>
      </c>
      <c r="H53" s="729">
        <f>240.43+41.27+564.79+77.62</f>
        <v>924.11</v>
      </c>
      <c r="I53" s="729">
        <f>231.37+42.16+564.79+249.62</f>
        <v>1087.94</v>
      </c>
      <c r="J53" s="729">
        <f>40.02+566.32+242.68</f>
        <v>849.02</v>
      </c>
      <c r="K53" s="729">
        <f>238.36+39.34+239.88+575.85</f>
        <v>1093.43</v>
      </c>
      <c r="L53" s="729">
        <f>599.08+241.11+236.81+38.73</f>
        <v>1115.73</v>
      </c>
      <c r="M53" s="729">
        <f>873.99+277.58+12+40.22</f>
        <v>1203.79</v>
      </c>
      <c r="N53" s="729">
        <f>277.88+39.12+232.39+564.93+566.31+204.48</f>
        <v>1885.11</v>
      </c>
      <c r="O53" s="729">
        <f>313.84+38.73+286.1+92.28+585.3</f>
        <v>1316.25</v>
      </c>
      <c r="P53" s="729">
        <f>262.24+38.8+81.83+617.06+233.48</f>
        <v>1233.4099999999999</v>
      </c>
      <c r="Q53" s="729">
        <f>92.37+982.66+38.73</f>
        <v>1113.76</v>
      </c>
      <c r="R53" s="729">
        <f>241.89+38.73+103.69+566.13</f>
        <v>950.44</v>
      </c>
      <c r="S53" s="730">
        <f t="shared" si="3"/>
        <v>13457.45</v>
      </c>
      <c r="T53" s="731">
        <f t="shared" ca="1" si="5"/>
        <v>-315</v>
      </c>
      <c r="U53" s="732">
        <v>44067</v>
      </c>
      <c r="V53" s="733" t="s">
        <v>2546</v>
      </c>
      <c r="W53" s="751"/>
      <c r="X53" s="735"/>
      <c r="Y53" s="735"/>
      <c r="Z53" s="735"/>
      <c r="AA53" s="735"/>
      <c r="AB53" s="735"/>
      <c r="AC53" s="740"/>
      <c r="AD53" s="736">
        <v>42972</v>
      </c>
      <c r="AE53" s="737">
        <f t="shared" ca="1" si="4"/>
        <v>-781</v>
      </c>
      <c r="AF53" s="649" t="s">
        <v>2291</v>
      </c>
    </row>
    <row r="54" spans="1:32" s="745" customFormat="1" ht="76.5" x14ac:dyDescent="0.2">
      <c r="A54" s="742" t="s">
        <v>2066</v>
      </c>
      <c r="B54" s="649"/>
      <c r="C54" s="649" t="s">
        <v>2067</v>
      </c>
      <c r="D54" s="743" t="s">
        <v>2068</v>
      </c>
      <c r="E54" s="743" t="s">
        <v>2073</v>
      </c>
      <c r="F54" s="728" t="s">
        <v>2074</v>
      </c>
      <c r="G54" s="729">
        <v>279.75</v>
      </c>
      <c r="H54" s="729">
        <v>279.75</v>
      </c>
      <c r="I54" s="729">
        <v>279.75</v>
      </c>
      <c r="J54" s="729">
        <v>279.75</v>
      </c>
      <c r="K54" s="729">
        <v>279.75</v>
      </c>
      <c r="L54" s="729">
        <v>279.75</v>
      </c>
      <c r="M54" s="729">
        <v>0</v>
      </c>
      <c r="N54" s="729">
        <f>279.75+279.75</f>
        <v>559.5</v>
      </c>
      <c r="O54" s="729">
        <v>0</v>
      </c>
      <c r="P54" s="729">
        <v>279.75</v>
      </c>
      <c r="Q54" s="729">
        <v>279.75</v>
      </c>
      <c r="R54" s="729">
        <v>279.75</v>
      </c>
      <c r="S54" s="730">
        <f t="shared" si="3"/>
        <v>3077.25</v>
      </c>
      <c r="T54" s="731">
        <f t="shared" ca="1" si="5"/>
        <v>-315</v>
      </c>
      <c r="U54" s="732">
        <v>44067</v>
      </c>
      <c r="V54" s="733" t="s">
        <v>2546</v>
      </c>
      <c r="W54" s="751"/>
      <c r="X54" s="735"/>
      <c r="Y54" s="735"/>
      <c r="Z54" s="735"/>
      <c r="AA54" s="735"/>
      <c r="AB54" s="735"/>
      <c r="AC54" s="740"/>
      <c r="AD54" s="736">
        <v>42972</v>
      </c>
      <c r="AE54" s="737">
        <f t="shared" ca="1" si="4"/>
        <v>-781</v>
      </c>
      <c r="AF54" s="649" t="s">
        <v>2291</v>
      </c>
    </row>
    <row r="55" spans="1:32" s="745" customFormat="1" ht="93" customHeight="1" x14ac:dyDescent="0.2">
      <c r="A55" s="742" t="s">
        <v>2066</v>
      </c>
      <c r="B55" s="649"/>
      <c r="C55" s="649" t="s">
        <v>2067</v>
      </c>
      <c r="D55" s="743" t="s">
        <v>2068</v>
      </c>
      <c r="E55" s="743" t="s">
        <v>2551</v>
      </c>
      <c r="F55" s="728">
        <v>1477.89</v>
      </c>
      <c r="G55" s="729">
        <v>0</v>
      </c>
      <c r="H55" s="729">
        <v>0</v>
      </c>
      <c r="I55" s="729">
        <v>0</v>
      </c>
      <c r="J55" s="729">
        <v>0</v>
      </c>
      <c r="K55" s="729">
        <v>0</v>
      </c>
      <c r="L55" s="729">
        <v>0</v>
      </c>
      <c r="M55" s="729">
        <v>0</v>
      </c>
      <c r="N55" s="729">
        <v>0</v>
      </c>
      <c r="O55" s="729">
        <v>0</v>
      </c>
      <c r="P55" s="729">
        <v>0</v>
      </c>
      <c r="Q55" s="729">
        <v>0</v>
      </c>
      <c r="R55" s="729">
        <v>0</v>
      </c>
      <c r="S55" s="730">
        <f>SUM(G55:R55)</f>
        <v>0</v>
      </c>
      <c r="T55" s="731">
        <f ca="1">U55-$AE$3</f>
        <v>-315</v>
      </c>
      <c r="U55" s="732">
        <v>44067</v>
      </c>
      <c r="V55" s="733" t="s">
        <v>2548</v>
      </c>
      <c r="W55" s="751"/>
      <c r="X55" s="735"/>
      <c r="Y55" s="735"/>
      <c r="Z55" s="735"/>
      <c r="AA55" s="735"/>
      <c r="AB55" s="735"/>
      <c r="AC55" s="740"/>
      <c r="AD55" s="736">
        <v>42972</v>
      </c>
      <c r="AE55" s="737">
        <f ca="1">TODAY()-DATE(YEAR(AD55)+6,MONTH(AD55),DAY(AD55))</f>
        <v>-781</v>
      </c>
      <c r="AF55" s="649" t="s">
        <v>2291</v>
      </c>
    </row>
    <row r="56" spans="1:32" s="745" customFormat="1" ht="25.5" x14ac:dyDescent="0.2">
      <c r="A56" s="742" t="s">
        <v>1756</v>
      </c>
      <c r="B56" s="649" t="s">
        <v>2091</v>
      </c>
      <c r="C56" s="649"/>
      <c r="D56" s="743" t="s">
        <v>2092</v>
      </c>
      <c r="E56" s="743" t="s">
        <v>1798</v>
      </c>
      <c r="F56" s="728">
        <v>0</v>
      </c>
      <c r="G56" s="729">
        <v>0</v>
      </c>
      <c r="H56" s="729">
        <v>500</v>
      </c>
      <c r="I56" s="729">
        <v>0</v>
      </c>
      <c r="J56" s="729">
        <v>0</v>
      </c>
      <c r="K56" s="729">
        <v>0</v>
      </c>
      <c r="L56" s="729">
        <v>0</v>
      </c>
      <c r="M56" s="729">
        <v>0</v>
      </c>
      <c r="N56" s="729">
        <v>0</v>
      </c>
      <c r="O56" s="729">
        <v>0</v>
      </c>
      <c r="P56" s="729">
        <v>0</v>
      </c>
      <c r="Q56" s="729">
        <v>0</v>
      </c>
      <c r="R56" s="729">
        <v>0</v>
      </c>
      <c r="S56" s="730">
        <f t="shared" si="3"/>
        <v>500</v>
      </c>
      <c r="T56" s="731">
        <f t="shared" ca="1" si="5"/>
        <v>-931</v>
      </c>
      <c r="U56" s="732">
        <v>43451</v>
      </c>
      <c r="V56" s="739" t="s">
        <v>2125</v>
      </c>
      <c r="W56" s="751"/>
      <c r="X56" s="735"/>
      <c r="Y56" s="735"/>
      <c r="Z56" s="735"/>
      <c r="AA56" s="735"/>
      <c r="AB56" s="735"/>
      <c r="AC56" s="740">
        <v>43340</v>
      </c>
      <c r="AD56" s="736">
        <v>43025</v>
      </c>
      <c r="AE56" s="737">
        <f t="shared" ca="1" si="4"/>
        <v>-834</v>
      </c>
      <c r="AF56" s="649" t="s">
        <v>2343</v>
      </c>
    </row>
    <row r="57" spans="1:32" s="745" customFormat="1" ht="38.25" x14ac:dyDescent="0.2">
      <c r="A57" s="742" t="s">
        <v>2096</v>
      </c>
      <c r="B57" s="649" t="s">
        <v>2062</v>
      </c>
      <c r="C57" s="649"/>
      <c r="D57" s="743" t="s">
        <v>2097</v>
      </c>
      <c r="E57" s="743" t="s">
        <v>2098</v>
      </c>
      <c r="F57" s="728">
        <v>8800</v>
      </c>
      <c r="G57" s="729">
        <v>0</v>
      </c>
      <c r="H57" s="729">
        <v>1200</v>
      </c>
      <c r="I57" s="729">
        <v>0</v>
      </c>
      <c r="J57" s="729">
        <v>0</v>
      </c>
      <c r="K57" s="729">
        <v>0</v>
      </c>
      <c r="L57" s="729">
        <v>0</v>
      </c>
      <c r="M57" s="729">
        <v>0</v>
      </c>
      <c r="N57" s="729">
        <v>0</v>
      </c>
      <c r="O57" s="729">
        <v>0</v>
      </c>
      <c r="P57" s="729">
        <v>0</v>
      </c>
      <c r="Q57" s="729">
        <v>0</v>
      </c>
      <c r="R57" s="729">
        <v>0</v>
      </c>
      <c r="S57" s="730">
        <f t="shared" si="3"/>
        <v>1200</v>
      </c>
      <c r="T57" s="731">
        <f t="shared" ca="1" si="5"/>
        <v>-556</v>
      </c>
      <c r="U57" s="732">
        <v>43826</v>
      </c>
      <c r="V57" s="733" t="s">
        <v>2099</v>
      </c>
      <c r="W57" s="751" t="s">
        <v>2469</v>
      </c>
      <c r="X57" s="735"/>
      <c r="Y57" s="735"/>
      <c r="Z57" s="735"/>
      <c r="AA57" s="735"/>
      <c r="AB57" s="735"/>
      <c r="AC57" s="740">
        <v>43804</v>
      </c>
      <c r="AD57" s="736">
        <v>43097</v>
      </c>
      <c r="AE57" s="737">
        <f t="shared" ca="1" si="4"/>
        <v>-906</v>
      </c>
      <c r="AF57" s="649" t="s">
        <v>2379</v>
      </c>
    </row>
    <row r="58" spans="1:32" s="745" customFormat="1" ht="178.5" x14ac:dyDescent="0.2">
      <c r="A58" s="742" t="s">
        <v>2101</v>
      </c>
      <c r="B58" s="649"/>
      <c r="C58" s="649" t="s">
        <v>2102</v>
      </c>
      <c r="D58" s="743" t="s">
        <v>2103</v>
      </c>
      <c r="E58" s="743" t="s">
        <v>2104</v>
      </c>
      <c r="F58" s="728">
        <v>3100000</v>
      </c>
      <c r="G58" s="790">
        <v>64583.34</v>
      </c>
      <c r="H58" s="790">
        <v>39500</v>
      </c>
      <c r="I58" s="790">
        <v>62645.83</v>
      </c>
      <c r="J58" s="790">
        <v>64583.34</v>
      </c>
      <c r="K58" s="790">
        <v>41845.839999999997</v>
      </c>
      <c r="L58" s="790">
        <v>64583.34</v>
      </c>
      <c r="M58" s="790">
        <v>64583.34</v>
      </c>
      <c r="N58" s="790">
        <v>47133.33</v>
      </c>
      <c r="O58" s="790">
        <v>62000</v>
      </c>
      <c r="P58" s="729">
        <v>0</v>
      </c>
      <c r="Q58" s="729">
        <v>0</v>
      </c>
      <c r="R58" s="729">
        <v>0</v>
      </c>
      <c r="S58" s="730">
        <f t="shared" si="3"/>
        <v>511458.35999999993</v>
      </c>
      <c r="T58" s="731">
        <f t="shared" ca="1" si="5"/>
        <v>176</v>
      </c>
      <c r="U58" s="732">
        <v>44558</v>
      </c>
      <c r="V58" s="739" t="s">
        <v>2105</v>
      </c>
      <c r="W58" s="751"/>
      <c r="X58" s="735"/>
      <c r="Y58" s="735"/>
      <c r="Z58" s="735"/>
      <c r="AA58" s="735"/>
      <c r="AB58" s="735"/>
      <c r="AC58" s="740"/>
      <c r="AD58" s="736">
        <v>43098</v>
      </c>
      <c r="AE58" s="737">
        <f t="shared" ca="1" si="4"/>
        <v>-907</v>
      </c>
      <c r="AF58" s="649" t="s">
        <v>2379</v>
      </c>
    </row>
    <row r="59" spans="1:32" s="745" customFormat="1" ht="51" x14ac:dyDescent="0.2">
      <c r="A59" s="742" t="s">
        <v>2114</v>
      </c>
      <c r="B59" s="649" t="s">
        <v>1840</v>
      </c>
      <c r="C59" s="649"/>
      <c r="D59" s="743" t="s">
        <v>2115</v>
      </c>
      <c r="E59" s="743" t="s">
        <v>2116</v>
      </c>
      <c r="F59" s="728">
        <v>8854.4699999999993</v>
      </c>
      <c r="G59" s="729">
        <v>0</v>
      </c>
      <c r="H59" s="729">
        <v>7089.15</v>
      </c>
      <c r="I59" s="729">
        <v>0</v>
      </c>
      <c r="J59" s="729">
        <v>0</v>
      </c>
      <c r="K59" s="729">
        <v>0</v>
      </c>
      <c r="L59" s="729">
        <v>0</v>
      </c>
      <c r="M59" s="729">
        <v>0</v>
      </c>
      <c r="N59" s="729">
        <v>0</v>
      </c>
      <c r="O59" s="729">
        <v>0</v>
      </c>
      <c r="P59" s="729">
        <v>0</v>
      </c>
      <c r="Q59" s="729">
        <v>0</v>
      </c>
      <c r="R59" s="729">
        <v>0</v>
      </c>
      <c r="S59" s="730">
        <f t="shared" si="3"/>
        <v>7089.15</v>
      </c>
      <c r="T59" s="731">
        <f t="shared" ca="1" si="5"/>
        <v>-1261</v>
      </c>
      <c r="U59" s="732">
        <v>43121</v>
      </c>
      <c r="V59" s="739" t="s">
        <v>2117</v>
      </c>
      <c r="W59" s="751" t="s">
        <v>2130</v>
      </c>
      <c r="X59" s="735"/>
      <c r="Y59" s="735"/>
      <c r="Z59" s="735"/>
      <c r="AA59" s="735"/>
      <c r="AB59" s="735"/>
      <c r="AC59" s="740"/>
      <c r="AD59" s="736">
        <v>43091</v>
      </c>
      <c r="AE59" s="737">
        <f t="shared" ca="1" si="4"/>
        <v>-900</v>
      </c>
      <c r="AF59" s="649" t="s">
        <v>2307</v>
      </c>
    </row>
    <row r="60" spans="1:32" s="745" customFormat="1" ht="38.25" x14ac:dyDescent="0.2">
      <c r="A60" s="742" t="s">
        <v>2118</v>
      </c>
      <c r="B60" s="649" t="s">
        <v>1840</v>
      </c>
      <c r="C60" s="649" t="s">
        <v>2295</v>
      </c>
      <c r="D60" s="743" t="s">
        <v>340</v>
      </c>
      <c r="E60" s="743" t="s">
        <v>2119</v>
      </c>
      <c r="F60" s="728">
        <v>4386.84</v>
      </c>
      <c r="G60" s="729">
        <v>349.63</v>
      </c>
      <c r="H60" s="729">
        <v>0</v>
      </c>
      <c r="I60" s="729">
        <v>0</v>
      </c>
      <c r="J60" s="729">
        <v>1096.71</v>
      </c>
      <c r="K60" s="729">
        <v>365.56</v>
      </c>
      <c r="L60" s="729">
        <v>365.56</v>
      </c>
      <c r="M60" s="729">
        <v>365.56</v>
      </c>
      <c r="N60" s="729">
        <v>365.56</v>
      </c>
      <c r="O60" s="729">
        <v>365.56</v>
      </c>
      <c r="P60" s="729">
        <v>365.56</v>
      </c>
      <c r="Q60" s="729">
        <v>365.56</v>
      </c>
      <c r="R60" s="729">
        <v>365.56</v>
      </c>
      <c r="S60" s="730">
        <f t="shared" si="3"/>
        <v>4370.82</v>
      </c>
      <c r="T60" s="731">
        <f t="shared" ca="1" si="5"/>
        <v>-563</v>
      </c>
      <c r="U60" s="732">
        <v>43819</v>
      </c>
      <c r="V60" s="739" t="s">
        <v>2404</v>
      </c>
      <c r="W60" s="751" t="s">
        <v>2468</v>
      </c>
      <c r="X60" s="735"/>
      <c r="Y60" s="735"/>
      <c r="Z60" s="735"/>
      <c r="AA60" s="735"/>
      <c r="AB60" s="735"/>
      <c r="AC60" s="740">
        <v>43759</v>
      </c>
      <c r="AD60" s="736">
        <v>43090</v>
      </c>
      <c r="AE60" s="737">
        <f t="shared" ca="1" si="4"/>
        <v>-899</v>
      </c>
      <c r="AF60" s="649" t="s">
        <v>2307</v>
      </c>
    </row>
    <row r="61" spans="1:32" s="745" customFormat="1" ht="51" x14ac:dyDescent="0.2">
      <c r="A61" s="742" t="s">
        <v>2121</v>
      </c>
      <c r="B61" s="649" t="s">
        <v>1593</v>
      </c>
      <c r="C61" s="649" t="s">
        <v>2122</v>
      </c>
      <c r="D61" s="743" t="s">
        <v>2123</v>
      </c>
      <c r="E61" s="743" t="s">
        <v>1534</v>
      </c>
      <c r="F61" s="728">
        <v>74052.33</v>
      </c>
      <c r="G61" s="729">
        <v>5044.68</v>
      </c>
      <c r="H61" s="729">
        <v>2211.94</v>
      </c>
      <c r="I61" s="729">
        <v>3225.76</v>
      </c>
      <c r="J61" s="729">
        <v>4047.1</v>
      </c>
      <c r="K61" s="729">
        <v>4181.3</v>
      </c>
      <c r="L61" s="729">
        <v>5035.84</v>
      </c>
      <c r="M61" s="729">
        <v>3830.02</v>
      </c>
      <c r="N61" s="729">
        <v>3596.78</v>
      </c>
      <c r="O61" s="729">
        <v>3240.06</v>
      </c>
      <c r="P61" s="729">
        <v>2879.54</v>
      </c>
      <c r="Q61" s="729">
        <v>6085.29</v>
      </c>
      <c r="R61" s="729">
        <v>4677.7700000000004</v>
      </c>
      <c r="S61" s="730">
        <f t="shared" si="3"/>
        <v>48056.08</v>
      </c>
      <c r="T61" s="731">
        <f t="shared" ca="1" si="5"/>
        <v>-561</v>
      </c>
      <c r="U61" s="732">
        <v>43821</v>
      </c>
      <c r="V61" s="739" t="s">
        <v>2294</v>
      </c>
      <c r="W61" s="751" t="s">
        <v>2467</v>
      </c>
      <c r="X61" s="735"/>
      <c r="Y61" s="735"/>
      <c r="Z61" s="735"/>
      <c r="AA61" s="735"/>
      <c r="AB61" s="735"/>
      <c r="AC61" s="740">
        <v>43759</v>
      </c>
      <c r="AD61" s="736">
        <v>43453</v>
      </c>
      <c r="AE61" s="737">
        <f t="shared" ca="1" si="4"/>
        <v>-1263</v>
      </c>
      <c r="AF61" s="649" t="s">
        <v>2291</v>
      </c>
    </row>
    <row r="62" spans="1:32" s="745" customFormat="1" ht="63.75" x14ac:dyDescent="0.2">
      <c r="A62" s="742" t="s">
        <v>2131</v>
      </c>
      <c r="B62" s="649"/>
      <c r="C62" s="649"/>
      <c r="D62" s="743" t="s">
        <v>2132</v>
      </c>
      <c r="E62" s="743" t="s">
        <v>2273</v>
      </c>
      <c r="F62" s="728" t="s">
        <v>2274</v>
      </c>
      <c r="G62" s="729">
        <v>0</v>
      </c>
      <c r="H62" s="729">
        <v>0</v>
      </c>
      <c r="I62" s="729">
        <v>0</v>
      </c>
      <c r="J62" s="729">
        <v>0</v>
      </c>
      <c r="K62" s="729">
        <v>0</v>
      </c>
      <c r="L62" s="729">
        <v>0</v>
      </c>
      <c r="M62" s="729">
        <v>0</v>
      </c>
      <c r="N62" s="729">
        <v>0</v>
      </c>
      <c r="O62" s="729">
        <v>0</v>
      </c>
      <c r="P62" s="729">
        <v>0</v>
      </c>
      <c r="Q62" s="729">
        <v>0</v>
      </c>
      <c r="R62" s="729">
        <v>0</v>
      </c>
      <c r="S62" s="730">
        <f t="shared" si="3"/>
        <v>0</v>
      </c>
      <c r="T62" s="731">
        <f t="shared" ca="1" si="5"/>
        <v>667</v>
      </c>
      <c r="U62" s="732">
        <v>45049</v>
      </c>
      <c r="V62" s="739" t="s">
        <v>2133</v>
      </c>
      <c r="W62" s="751"/>
      <c r="X62" s="735"/>
      <c r="Y62" s="735"/>
      <c r="Z62" s="735"/>
      <c r="AA62" s="735"/>
      <c r="AB62" s="735"/>
      <c r="AC62" s="740"/>
      <c r="AD62" s="736">
        <v>43224</v>
      </c>
      <c r="AE62" s="737">
        <f t="shared" ca="1" si="4"/>
        <v>-1034</v>
      </c>
      <c r="AF62" s="649"/>
    </row>
    <row r="63" spans="1:32" s="745" customFormat="1" ht="25.5" x14ac:dyDescent="0.2">
      <c r="A63" s="742" t="s">
        <v>1756</v>
      </c>
      <c r="B63" s="649"/>
      <c r="C63" s="649"/>
      <c r="D63" s="743" t="s">
        <v>1760</v>
      </c>
      <c r="E63" s="743" t="s">
        <v>1798</v>
      </c>
      <c r="F63" s="728">
        <v>0</v>
      </c>
      <c r="G63" s="729">
        <f>475+1965.95</f>
        <v>2440.9499999999998</v>
      </c>
      <c r="H63" s="729">
        <v>670.43</v>
      </c>
      <c r="I63" s="729">
        <v>344.95</v>
      </c>
      <c r="J63" s="729">
        <v>0</v>
      </c>
      <c r="K63" s="729">
        <v>0</v>
      </c>
      <c r="L63" s="729">
        <v>0</v>
      </c>
      <c r="M63" s="729">
        <v>0</v>
      </c>
      <c r="N63" s="729">
        <v>0</v>
      </c>
      <c r="O63" s="729">
        <v>0</v>
      </c>
      <c r="P63" s="729">
        <v>0</v>
      </c>
      <c r="Q63" s="729">
        <v>0</v>
      </c>
      <c r="R63" s="729">
        <v>0</v>
      </c>
      <c r="S63" s="730">
        <f t="shared" si="3"/>
        <v>3456.3299999999995</v>
      </c>
      <c r="T63" s="731">
        <f t="shared" ca="1" si="5"/>
        <v>-990</v>
      </c>
      <c r="U63" s="732">
        <v>43392</v>
      </c>
      <c r="V63" s="739" t="s">
        <v>2276</v>
      </c>
      <c r="W63" s="751"/>
      <c r="X63" s="735"/>
      <c r="Y63" s="735"/>
      <c r="Z63" s="735"/>
      <c r="AA63" s="735"/>
      <c r="AB63" s="735"/>
      <c r="AC63" s="740">
        <v>43340</v>
      </c>
      <c r="AD63" s="736">
        <v>43028</v>
      </c>
      <c r="AE63" s="737">
        <f t="shared" ca="1" si="4"/>
        <v>-837</v>
      </c>
      <c r="AF63" s="649" t="s">
        <v>2343</v>
      </c>
    </row>
    <row r="64" spans="1:32" s="745" customFormat="1" ht="38.25" x14ac:dyDescent="0.2">
      <c r="A64" s="742" t="s">
        <v>2139</v>
      </c>
      <c r="B64" s="649"/>
      <c r="C64" s="649"/>
      <c r="D64" s="743" t="s">
        <v>1632</v>
      </c>
      <c r="E64" s="743" t="s">
        <v>2140</v>
      </c>
      <c r="F64" s="728">
        <v>172749.6</v>
      </c>
      <c r="G64" s="729">
        <f>2499+4436.97</f>
        <v>6935.97</v>
      </c>
      <c r="H64" s="729">
        <f>4436.97+2499</f>
        <v>6935.97</v>
      </c>
      <c r="I64" s="729">
        <v>0</v>
      </c>
      <c r="J64" s="729">
        <f>4855.17+2159.36</f>
        <v>7014.5300000000007</v>
      </c>
      <c r="K64" s="729">
        <f>7197.9+4436.97+2499</f>
        <v>14133.869999999999</v>
      </c>
      <c r="L64" s="729">
        <v>7543.68</v>
      </c>
      <c r="M64" s="729">
        <v>9791.2800000000007</v>
      </c>
      <c r="N64" s="729">
        <f>8870.37+859.96</f>
        <v>9730.3300000000017</v>
      </c>
      <c r="O64" s="729">
        <v>8256.44</v>
      </c>
      <c r="P64" s="729">
        <v>8256.44</v>
      </c>
      <c r="Q64" s="729">
        <v>8256.44</v>
      </c>
      <c r="R64" s="729">
        <f>9791.28</f>
        <v>9791.2800000000007</v>
      </c>
      <c r="S64" s="730">
        <f t="shared" si="3"/>
        <v>96646.23</v>
      </c>
      <c r="T64" s="731">
        <f t="shared" ca="1" si="5"/>
        <v>-471</v>
      </c>
      <c r="U64" s="732">
        <v>43911</v>
      </c>
      <c r="V64" s="733" t="s">
        <v>2380</v>
      </c>
      <c r="W64" s="751"/>
      <c r="X64" s="735"/>
      <c r="Y64" s="735"/>
      <c r="Z64" s="735"/>
      <c r="AA64" s="735"/>
      <c r="AB64" s="735"/>
      <c r="AC64" s="740"/>
      <c r="AD64" s="736">
        <v>43181</v>
      </c>
      <c r="AE64" s="737">
        <f t="shared" ca="1" si="4"/>
        <v>-991</v>
      </c>
      <c r="AF64" s="649" t="s">
        <v>2291</v>
      </c>
    </row>
    <row r="65" spans="1:32" s="745" customFormat="1" ht="63.75" x14ac:dyDescent="0.2">
      <c r="A65" s="742" t="s">
        <v>2142</v>
      </c>
      <c r="B65" s="649"/>
      <c r="C65" s="649"/>
      <c r="D65" s="743" t="s">
        <v>2146</v>
      </c>
      <c r="E65" s="743" t="s">
        <v>2386</v>
      </c>
      <c r="F65" s="728">
        <v>154560</v>
      </c>
      <c r="G65" s="729">
        <v>10472</v>
      </c>
      <c r="H65" s="729">
        <v>0</v>
      </c>
      <c r="I65" s="790">
        <f>5874+2432+9030</f>
        <v>17336</v>
      </c>
      <c r="J65" s="790">
        <f>11457.6</f>
        <v>11457.6</v>
      </c>
      <c r="K65" s="790">
        <v>10833.6</v>
      </c>
      <c r="L65" s="790">
        <v>11025.2</v>
      </c>
      <c r="M65" s="790">
        <v>11403.6</v>
      </c>
      <c r="N65" s="790">
        <v>10732.8</v>
      </c>
      <c r="O65" s="790">
        <v>8869.6</v>
      </c>
      <c r="P65" s="790">
        <v>9500</v>
      </c>
      <c r="Q65" s="790">
        <f>636.4+10090.8</f>
        <v>10727.199999999999</v>
      </c>
      <c r="R65" s="729">
        <v>0</v>
      </c>
      <c r="S65" s="730">
        <f t="shared" si="3"/>
        <v>112357.6</v>
      </c>
      <c r="T65" s="731">
        <f t="shared" ca="1" si="5"/>
        <v>-472</v>
      </c>
      <c r="U65" s="732">
        <v>43910</v>
      </c>
      <c r="V65" s="733" t="s">
        <v>2381</v>
      </c>
      <c r="W65" s="751"/>
      <c r="X65" s="735"/>
      <c r="Y65" s="735"/>
      <c r="Z65" s="735"/>
      <c r="AA65" s="735"/>
      <c r="AB65" s="735"/>
      <c r="AC65" s="740"/>
      <c r="AD65" s="736">
        <v>43180</v>
      </c>
      <c r="AE65" s="737">
        <f t="shared" ca="1" si="4"/>
        <v>-990</v>
      </c>
      <c r="AF65" s="649" t="s">
        <v>2307</v>
      </c>
    </row>
    <row r="66" spans="1:32" s="745" customFormat="1" ht="89.25" x14ac:dyDescent="0.2">
      <c r="A66" s="742" t="s">
        <v>2150</v>
      </c>
      <c r="B66" s="649"/>
      <c r="C66" s="649" t="s">
        <v>2151</v>
      </c>
      <c r="D66" s="743" t="s">
        <v>2152</v>
      </c>
      <c r="E66" s="743" t="s">
        <v>2153</v>
      </c>
      <c r="F66" s="728">
        <v>0</v>
      </c>
      <c r="G66" s="729">
        <v>0</v>
      </c>
      <c r="H66" s="729">
        <v>0</v>
      </c>
      <c r="I66" s="729">
        <v>0</v>
      </c>
      <c r="J66" s="729">
        <v>0</v>
      </c>
      <c r="K66" s="729">
        <v>0</v>
      </c>
      <c r="L66" s="729">
        <v>0</v>
      </c>
      <c r="M66" s="729">
        <v>0</v>
      </c>
      <c r="N66" s="729">
        <v>0</v>
      </c>
      <c r="O66" s="729">
        <v>0</v>
      </c>
      <c r="P66" s="729">
        <v>0</v>
      </c>
      <c r="Q66" s="729">
        <v>0</v>
      </c>
      <c r="R66" s="729">
        <v>0</v>
      </c>
      <c r="S66" s="730">
        <f t="shared" si="3"/>
        <v>0</v>
      </c>
      <c r="T66" s="749">
        <f t="shared" ca="1" si="5"/>
        <v>-118</v>
      </c>
      <c r="U66" s="732">
        <v>44264</v>
      </c>
      <c r="V66" s="733" t="s">
        <v>2154</v>
      </c>
      <c r="W66" s="751"/>
      <c r="X66" s="735"/>
      <c r="Y66" s="735"/>
      <c r="Z66" s="735"/>
      <c r="AA66" s="735"/>
      <c r="AB66" s="735"/>
      <c r="AC66" s="740"/>
      <c r="AD66" s="736">
        <v>43353</v>
      </c>
      <c r="AE66" s="750">
        <f t="shared" ca="1" si="4"/>
        <v>-1163</v>
      </c>
      <c r="AF66" s="649" t="s">
        <v>2343</v>
      </c>
    </row>
    <row r="67" spans="1:32" s="745" customFormat="1" ht="89.25" x14ac:dyDescent="0.2">
      <c r="A67" s="742" t="s">
        <v>2150</v>
      </c>
      <c r="B67" s="649"/>
      <c r="C67" s="649" t="s">
        <v>2151</v>
      </c>
      <c r="D67" s="743" t="s">
        <v>2155</v>
      </c>
      <c r="E67" s="743" t="s">
        <v>2153</v>
      </c>
      <c r="F67" s="728">
        <v>0</v>
      </c>
      <c r="G67" s="729">
        <v>0</v>
      </c>
      <c r="H67" s="729">
        <v>0</v>
      </c>
      <c r="I67" s="729">
        <v>0</v>
      </c>
      <c r="J67" s="729">
        <v>0</v>
      </c>
      <c r="K67" s="729">
        <v>0</v>
      </c>
      <c r="L67" s="729">
        <v>500</v>
      </c>
      <c r="M67" s="729">
        <v>0</v>
      </c>
      <c r="N67" s="729">
        <v>0</v>
      </c>
      <c r="O67" s="729">
        <v>0</v>
      </c>
      <c r="P67" s="729">
        <v>0</v>
      </c>
      <c r="Q67" s="729">
        <v>0</v>
      </c>
      <c r="R67" s="729">
        <v>0</v>
      </c>
      <c r="S67" s="730">
        <f t="shared" si="3"/>
        <v>500</v>
      </c>
      <c r="T67" s="731">
        <f t="shared" ca="1" si="5"/>
        <v>-118</v>
      </c>
      <c r="U67" s="732">
        <v>44264</v>
      </c>
      <c r="V67" s="739" t="s">
        <v>2154</v>
      </c>
      <c r="W67" s="751"/>
      <c r="X67" s="735"/>
      <c r="Y67" s="735"/>
      <c r="Z67" s="735"/>
      <c r="AA67" s="735"/>
      <c r="AB67" s="735"/>
      <c r="AC67" s="740"/>
      <c r="AD67" s="736">
        <v>43353</v>
      </c>
      <c r="AE67" s="737">
        <f t="shared" ca="1" si="4"/>
        <v>-1163</v>
      </c>
      <c r="AF67" s="649" t="s">
        <v>2343</v>
      </c>
    </row>
    <row r="68" spans="1:32" s="745" customFormat="1" ht="89.25" x14ac:dyDescent="0.2">
      <c r="A68" s="742" t="s">
        <v>2150</v>
      </c>
      <c r="B68" s="649"/>
      <c r="C68" s="649" t="s">
        <v>2151</v>
      </c>
      <c r="D68" s="743" t="s">
        <v>2158</v>
      </c>
      <c r="E68" s="743" t="s">
        <v>2153</v>
      </c>
      <c r="F68" s="728">
        <v>0</v>
      </c>
      <c r="G68" s="729">
        <v>0</v>
      </c>
      <c r="H68" s="729">
        <v>0</v>
      </c>
      <c r="I68" s="729">
        <v>0</v>
      </c>
      <c r="J68" s="729">
        <v>0</v>
      </c>
      <c r="K68" s="729">
        <v>0</v>
      </c>
      <c r="L68" s="729">
        <v>0</v>
      </c>
      <c r="M68" s="729">
        <v>0</v>
      </c>
      <c r="N68" s="729">
        <v>0</v>
      </c>
      <c r="O68" s="729">
        <v>0</v>
      </c>
      <c r="P68" s="729">
        <v>0</v>
      </c>
      <c r="Q68" s="729">
        <v>0</v>
      </c>
      <c r="R68" s="729">
        <v>0</v>
      </c>
      <c r="S68" s="730">
        <f t="shared" si="3"/>
        <v>0</v>
      </c>
      <c r="T68" s="731">
        <f t="shared" ca="1" si="5"/>
        <v>-134</v>
      </c>
      <c r="U68" s="732">
        <v>44248</v>
      </c>
      <c r="V68" s="739" t="s">
        <v>2184</v>
      </c>
      <c r="W68" s="751"/>
      <c r="X68" s="735"/>
      <c r="Y68" s="735"/>
      <c r="Z68" s="735"/>
      <c r="AA68" s="735"/>
      <c r="AB68" s="735"/>
      <c r="AC68" s="740"/>
      <c r="AD68" s="736">
        <v>43334</v>
      </c>
      <c r="AE68" s="737">
        <f t="shared" ca="1" si="4"/>
        <v>-1144</v>
      </c>
      <c r="AF68" s="649" t="s">
        <v>2343</v>
      </c>
    </row>
    <row r="69" spans="1:32" s="745" customFormat="1" ht="89.25" x14ac:dyDescent="0.2">
      <c r="A69" s="742" t="s">
        <v>2150</v>
      </c>
      <c r="B69" s="649"/>
      <c r="C69" s="649" t="s">
        <v>2151</v>
      </c>
      <c r="D69" s="743" t="s">
        <v>2159</v>
      </c>
      <c r="E69" s="743" t="s">
        <v>2153</v>
      </c>
      <c r="F69" s="728">
        <v>0</v>
      </c>
      <c r="G69" s="729">
        <v>461.49</v>
      </c>
      <c r="H69" s="729">
        <v>0</v>
      </c>
      <c r="I69" s="729">
        <v>0</v>
      </c>
      <c r="J69" s="729">
        <v>0</v>
      </c>
      <c r="K69" s="729">
        <v>0</v>
      </c>
      <c r="L69" s="729">
        <v>0</v>
      </c>
      <c r="M69" s="729">
        <v>0</v>
      </c>
      <c r="N69" s="729">
        <v>0</v>
      </c>
      <c r="O69" s="729">
        <v>0</v>
      </c>
      <c r="P69" s="729">
        <v>0</v>
      </c>
      <c r="Q69" s="729">
        <v>0</v>
      </c>
      <c r="R69" s="729">
        <v>0</v>
      </c>
      <c r="S69" s="730">
        <f t="shared" si="3"/>
        <v>461.49</v>
      </c>
      <c r="T69" s="731">
        <f t="shared" ca="1" si="5"/>
        <v>-142</v>
      </c>
      <c r="U69" s="732">
        <v>44240</v>
      </c>
      <c r="V69" s="739" t="s">
        <v>2189</v>
      </c>
      <c r="W69" s="751"/>
      <c r="X69" s="735"/>
      <c r="Y69" s="735"/>
      <c r="Z69" s="735"/>
      <c r="AA69" s="735"/>
      <c r="AB69" s="735"/>
      <c r="AC69" s="740"/>
      <c r="AD69" s="736">
        <v>43326</v>
      </c>
      <c r="AE69" s="737">
        <f t="shared" ca="1" si="4"/>
        <v>-1136</v>
      </c>
      <c r="AF69" s="649" t="s">
        <v>2343</v>
      </c>
    </row>
    <row r="70" spans="1:32" s="745" customFormat="1" ht="89.25" x14ac:dyDescent="0.2">
      <c r="A70" s="742" t="s">
        <v>2150</v>
      </c>
      <c r="B70" s="649"/>
      <c r="C70" s="649" t="s">
        <v>2151</v>
      </c>
      <c r="D70" s="743" t="s">
        <v>2160</v>
      </c>
      <c r="E70" s="743" t="s">
        <v>2153</v>
      </c>
      <c r="F70" s="728">
        <v>0</v>
      </c>
      <c r="G70" s="729">
        <v>0</v>
      </c>
      <c r="H70" s="729">
        <v>0</v>
      </c>
      <c r="I70" s="729">
        <v>0</v>
      </c>
      <c r="J70" s="729">
        <v>0</v>
      </c>
      <c r="K70" s="729">
        <v>0</v>
      </c>
      <c r="L70" s="729">
        <v>0</v>
      </c>
      <c r="M70" s="729">
        <v>0</v>
      </c>
      <c r="N70" s="729">
        <v>0</v>
      </c>
      <c r="O70" s="729">
        <v>0</v>
      </c>
      <c r="P70" s="729">
        <v>0</v>
      </c>
      <c r="Q70" s="729">
        <v>0</v>
      </c>
      <c r="R70" s="729">
        <v>0</v>
      </c>
      <c r="S70" s="730">
        <f t="shared" si="3"/>
        <v>0</v>
      </c>
      <c r="T70" s="731">
        <f t="shared" ca="1" si="5"/>
        <v>-142</v>
      </c>
      <c r="U70" s="732">
        <v>44240</v>
      </c>
      <c r="V70" s="739" t="s">
        <v>2189</v>
      </c>
      <c r="W70" s="751"/>
      <c r="X70" s="735"/>
      <c r="Y70" s="735"/>
      <c r="Z70" s="735"/>
      <c r="AA70" s="735"/>
      <c r="AB70" s="735"/>
      <c r="AC70" s="740"/>
      <c r="AD70" s="736">
        <v>43326</v>
      </c>
      <c r="AE70" s="737">
        <f t="shared" ca="1" si="4"/>
        <v>-1136</v>
      </c>
      <c r="AF70" s="649" t="s">
        <v>2343</v>
      </c>
    </row>
    <row r="71" spans="1:32" s="745" customFormat="1" ht="89.25" x14ac:dyDescent="0.2">
      <c r="A71" s="742" t="s">
        <v>2150</v>
      </c>
      <c r="B71" s="649"/>
      <c r="C71" s="649" t="s">
        <v>2151</v>
      </c>
      <c r="D71" s="743" t="s">
        <v>2161</v>
      </c>
      <c r="E71" s="743" t="s">
        <v>2153</v>
      </c>
      <c r="F71" s="728">
        <v>0</v>
      </c>
      <c r="G71" s="729">
        <v>0</v>
      </c>
      <c r="H71" s="729">
        <v>0</v>
      </c>
      <c r="I71" s="729">
        <v>0</v>
      </c>
      <c r="J71" s="729">
        <v>0</v>
      </c>
      <c r="K71" s="729">
        <v>0</v>
      </c>
      <c r="L71" s="729">
        <v>0</v>
      </c>
      <c r="M71" s="729">
        <v>0</v>
      </c>
      <c r="N71" s="729">
        <v>0</v>
      </c>
      <c r="O71" s="729">
        <v>0</v>
      </c>
      <c r="P71" s="729">
        <v>0</v>
      </c>
      <c r="Q71" s="729">
        <v>0</v>
      </c>
      <c r="R71" s="729">
        <v>0</v>
      </c>
      <c r="S71" s="730">
        <f t="shared" si="3"/>
        <v>0</v>
      </c>
      <c r="T71" s="731">
        <f t="shared" ca="1" si="5"/>
        <v>-134</v>
      </c>
      <c r="U71" s="732">
        <v>44248</v>
      </c>
      <c r="V71" s="739" t="s">
        <v>2184</v>
      </c>
      <c r="W71" s="751"/>
      <c r="X71" s="735"/>
      <c r="Y71" s="735"/>
      <c r="Z71" s="735"/>
      <c r="AA71" s="735"/>
      <c r="AB71" s="735"/>
      <c r="AC71" s="740"/>
      <c r="AD71" s="736">
        <v>43334</v>
      </c>
      <c r="AE71" s="737">
        <f t="shared" ca="1" si="4"/>
        <v>-1144</v>
      </c>
      <c r="AF71" s="649" t="s">
        <v>2343</v>
      </c>
    </row>
    <row r="72" spans="1:32" s="745" customFormat="1" ht="89.25" x14ac:dyDescent="0.2">
      <c r="A72" s="742" t="s">
        <v>2150</v>
      </c>
      <c r="B72" s="649"/>
      <c r="C72" s="649" t="s">
        <v>2151</v>
      </c>
      <c r="D72" s="743" t="s">
        <v>2162</v>
      </c>
      <c r="E72" s="743" t="s">
        <v>2153</v>
      </c>
      <c r="F72" s="728">
        <v>0</v>
      </c>
      <c r="G72" s="729">
        <v>0</v>
      </c>
      <c r="H72" s="729">
        <v>0</v>
      </c>
      <c r="I72" s="729">
        <v>0</v>
      </c>
      <c r="J72" s="729">
        <v>0</v>
      </c>
      <c r="K72" s="729">
        <v>0</v>
      </c>
      <c r="L72" s="729">
        <v>0</v>
      </c>
      <c r="M72" s="729">
        <v>0</v>
      </c>
      <c r="N72" s="729">
        <v>0</v>
      </c>
      <c r="O72" s="729">
        <v>0</v>
      </c>
      <c r="P72" s="729">
        <v>0</v>
      </c>
      <c r="Q72" s="787">
        <v>0</v>
      </c>
      <c r="R72" s="729">
        <v>0</v>
      </c>
      <c r="S72" s="730">
        <f t="shared" si="3"/>
        <v>0</v>
      </c>
      <c r="T72" s="731">
        <f t="shared" ca="1" si="5"/>
        <v>-134</v>
      </c>
      <c r="U72" s="732">
        <v>44248</v>
      </c>
      <c r="V72" s="739" t="s">
        <v>2184</v>
      </c>
      <c r="W72" s="751"/>
      <c r="X72" s="735"/>
      <c r="Y72" s="735"/>
      <c r="Z72" s="735"/>
      <c r="AA72" s="735"/>
      <c r="AB72" s="735"/>
      <c r="AC72" s="740"/>
      <c r="AD72" s="736">
        <v>43334</v>
      </c>
      <c r="AE72" s="737">
        <f t="shared" ca="1" si="4"/>
        <v>-1144</v>
      </c>
      <c r="AF72" s="649" t="s">
        <v>2343</v>
      </c>
    </row>
    <row r="73" spans="1:32" s="745" customFormat="1" ht="89.25" x14ac:dyDescent="0.2">
      <c r="A73" s="742" t="s">
        <v>2150</v>
      </c>
      <c r="B73" s="649"/>
      <c r="C73" s="649" t="s">
        <v>2151</v>
      </c>
      <c r="D73" s="743" t="s">
        <v>2163</v>
      </c>
      <c r="E73" s="743" t="s">
        <v>2153</v>
      </c>
      <c r="F73" s="728">
        <v>0</v>
      </c>
      <c r="G73" s="729">
        <v>0</v>
      </c>
      <c r="H73" s="729">
        <v>0</v>
      </c>
      <c r="I73" s="729">
        <v>1000</v>
      </c>
      <c r="J73" s="729">
        <v>300</v>
      </c>
      <c r="K73" s="729">
        <v>0</v>
      </c>
      <c r="L73" s="729">
        <v>1300</v>
      </c>
      <c r="M73" s="729">
        <v>0</v>
      </c>
      <c r="N73" s="729">
        <v>1000</v>
      </c>
      <c r="O73" s="729">
        <v>0</v>
      </c>
      <c r="P73" s="729">
        <v>2711.91</v>
      </c>
      <c r="Q73" s="729">
        <v>1793.73</v>
      </c>
      <c r="R73" s="729">
        <v>0</v>
      </c>
      <c r="S73" s="730">
        <f t="shared" si="3"/>
        <v>8105.6399999999994</v>
      </c>
      <c r="T73" s="731">
        <f t="shared" ca="1" si="5"/>
        <v>-134</v>
      </c>
      <c r="U73" s="732">
        <v>44248</v>
      </c>
      <c r="V73" s="739" t="s">
        <v>2184</v>
      </c>
      <c r="W73" s="751"/>
      <c r="X73" s="735"/>
      <c r="Y73" s="735"/>
      <c r="Z73" s="735"/>
      <c r="AA73" s="735"/>
      <c r="AB73" s="735"/>
      <c r="AC73" s="740"/>
      <c r="AD73" s="736">
        <v>43334</v>
      </c>
      <c r="AE73" s="737">
        <f t="shared" ca="1" si="4"/>
        <v>-1144</v>
      </c>
      <c r="AF73" s="649" t="s">
        <v>2343</v>
      </c>
    </row>
    <row r="74" spans="1:32" s="745" customFormat="1" ht="89.25" x14ac:dyDescent="0.2">
      <c r="A74" s="742" t="s">
        <v>2150</v>
      </c>
      <c r="B74" s="649"/>
      <c r="C74" s="649" t="s">
        <v>2151</v>
      </c>
      <c r="D74" s="743" t="s">
        <v>2164</v>
      </c>
      <c r="E74" s="743" t="s">
        <v>2153</v>
      </c>
      <c r="F74" s="728">
        <v>0</v>
      </c>
      <c r="G74" s="729">
        <v>0</v>
      </c>
      <c r="H74" s="729">
        <v>415.31</v>
      </c>
      <c r="I74" s="729">
        <v>0</v>
      </c>
      <c r="J74" s="729">
        <v>0</v>
      </c>
      <c r="K74" s="729">
        <v>415.31</v>
      </c>
      <c r="L74" s="729">
        <v>0</v>
      </c>
      <c r="M74" s="729">
        <v>0</v>
      </c>
      <c r="N74" s="729">
        <v>0</v>
      </c>
      <c r="O74" s="729">
        <v>0</v>
      </c>
      <c r="P74" s="729">
        <v>0</v>
      </c>
      <c r="Q74" s="729">
        <v>0</v>
      </c>
      <c r="R74" s="729">
        <v>0</v>
      </c>
      <c r="S74" s="730">
        <f t="shared" si="3"/>
        <v>830.62</v>
      </c>
      <c r="T74" s="731">
        <f t="shared" ca="1" si="5"/>
        <v>-142</v>
      </c>
      <c r="U74" s="732">
        <v>44240</v>
      </c>
      <c r="V74" s="739" t="s">
        <v>2189</v>
      </c>
      <c r="W74" s="751"/>
      <c r="X74" s="735"/>
      <c r="Y74" s="735"/>
      <c r="Z74" s="735"/>
      <c r="AA74" s="735"/>
      <c r="AB74" s="735"/>
      <c r="AC74" s="740"/>
      <c r="AD74" s="736">
        <v>43326</v>
      </c>
      <c r="AE74" s="737">
        <f t="shared" ca="1" si="4"/>
        <v>-1136</v>
      </c>
      <c r="AF74" s="649" t="s">
        <v>2343</v>
      </c>
    </row>
    <row r="75" spans="1:32" s="745" customFormat="1" ht="89.25" x14ac:dyDescent="0.2">
      <c r="A75" s="742" t="s">
        <v>2150</v>
      </c>
      <c r="B75" s="649"/>
      <c r="C75" s="649" t="s">
        <v>2151</v>
      </c>
      <c r="D75" s="743" t="s">
        <v>2165</v>
      </c>
      <c r="E75" s="743" t="s">
        <v>2153</v>
      </c>
      <c r="F75" s="728">
        <v>0</v>
      </c>
      <c r="G75" s="729">
        <v>154.28</v>
      </c>
      <c r="H75" s="839">
        <v>435.98</v>
      </c>
      <c r="I75" s="729">
        <v>0</v>
      </c>
      <c r="J75" s="729">
        <v>0</v>
      </c>
      <c r="K75" s="729">
        <v>0</v>
      </c>
      <c r="L75" s="729">
        <v>0</v>
      </c>
      <c r="M75" s="729">
        <v>0</v>
      </c>
      <c r="N75" s="729">
        <v>0</v>
      </c>
      <c r="O75" s="729">
        <v>0</v>
      </c>
      <c r="P75" s="729">
        <v>0</v>
      </c>
      <c r="Q75" s="729">
        <v>0</v>
      </c>
      <c r="R75" s="729">
        <v>0</v>
      </c>
      <c r="S75" s="730">
        <f t="shared" si="3"/>
        <v>590.26</v>
      </c>
      <c r="T75" s="731">
        <f t="shared" ca="1" si="5"/>
        <v>-142</v>
      </c>
      <c r="U75" s="732">
        <v>44240</v>
      </c>
      <c r="V75" s="739" t="s">
        <v>2189</v>
      </c>
      <c r="W75" s="751"/>
      <c r="X75" s="735"/>
      <c r="Y75" s="735"/>
      <c r="Z75" s="735"/>
      <c r="AA75" s="735"/>
      <c r="AB75" s="735"/>
      <c r="AC75" s="740"/>
      <c r="AD75" s="736">
        <v>43326</v>
      </c>
      <c r="AE75" s="737">
        <f t="shared" ca="1" si="4"/>
        <v>-1136</v>
      </c>
      <c r="AF75" s="649" t="s">
        <v>2343</v>
      </c>
    </row>
    <row r="76" spans="1:32" s="745" customFormat="1" ht="89.25" x14ac:dyDescent="0.2">
      <c r="A76" s="742" t="s">
        <v>2150</v>
      </c>
      <c r="B76" s="649"/>
      <c r="C76" s="649" t="s">
        <v>2151</v>
      </c>
      <c r="D76" s="743" t="s">
        <v>2166</v>
      </c>
      <c r="E76" s="743" t="s">
        <v>2153</v>
      </c>
      <c r="F76" s="728">
        <v>0</v>
      </c>
      <c r="G76" s="729">
        <v>0</v>
      </c>
      <c r="H76" s="729">
        <v>0</v>
      </c>
      <c r="I76" s="729">
        <v>0</v>
      </c>
      <c r="J76" s="729">
        <v>0</v>
      </c>
      <c r="K76" s="729">
        <v>0</v>
      </c>
      <c r="L76" s="729">
        <v>0</v>
      </c>
      <c r="M76" s="729">
        <v>0</v>
      </c>
      <c r="N76" s="729">
        <v>0</v>
      </c>
      <c r="O76" s="729">
        <v>0</v>
      </c>
      <c r="P76" s="729">
        <v>0</v>
      </c>
      <c r="Q76" s="729">
        <v>0</v>
      </c>
      <c r="R76" s="729">
        <v>0</v>
      </c>
      <c r="S76" s="730">
        <f t="shared" si="3"/>
        <v>0</v>
      </c>
      <c r="T76" s="731">
        <f t="shared" ca="1" si="5"/>
        <v>-134</v>
      </c>
      <c r="U76" s="732">
        <v>44248</v>
      </c>
      <c r="V76" s="739" t="s">
        <v>2184</v>
      </c>
      <c r="W76" s="751"/>
      <c r="X76" s="735"/>
      <c r="Y76" s="735"/>
      <c r="Z76" s="735"/>
      <c r="AA76" s="735"/>
      <c r="AB76" s="735"/>
      <c r="AC76" s="740"/>
      <c r="AD76" s="736">
        <v>43334</v>
      </c>
      <c r="AE76" s="737">
        <f t="shared" ca="1" si="4"/>
        <v>-1144</v>
      </c>
      <c r="AF76" s="649" t="s">
        <v>2343</v>
      </c>
    </row>
    <row r="77" spans="1:32" s="745" customFormat="1" ht="89.25" x14ac:dyDescent="0.2">
      <c r="A77" s="742" t="s">
        <v>2150</v>
      </c>
      <c r="B77" s="649"/>
      <c r="C77" s="649" t="s">
        <v>2151</v>
      </c>
      <c r="D77" s="743" t="s">
        <v>2167</v>
      </c>
      <c r="E77" s="743" t="s">
        <v>2153</v>
      </c>
      <c r="F77" s="728">
        <v>0</v>
      </c>
      <c r="G77" s="729">
        <v>0</v>
      </c>
      <c r="H77" s="729">
        <v>0</v>
      </c>
      <c r="I77" s="729">
        <v>0</v>
      </c>
      <c r="J77" s="729">
        <v>0</v>
      </c>
      <c r="K77" s="729">
        <v>0</v>
      </c>
      <c r="L77" s="729">
        <v>0</v>
      </c>
      <c r="M77" s="729">
        <v>0</v>
      </c>
      <c r="N77" s="729">
        <v>0</v>
      </c>
      <c r="O77" s="729">
        <v>0</v>
      </c>
      <c r="P77" s="729">
        <v>308.61</v>
      </c>
      <c r="Q77" s="729">
        <v>0</v>
      </c>
      <c r="R77" s="729">
        <v>0</v>
      </c>
      <c r="S77" s="730">
        <f t="shared" si="3"/>
        <v>308.61</v>
      </c>
      <c r="T77" s="731">
        <f t="shared" ca="1" si="5"/>
        <v>-134</v>
      </c>
      <c r="U77" s="732">
        <v>44248</v>
      </c>
      <c r="V77" s="739" t="s">
        <v>2184</v>
      </c>
      <c r="W77" s="751"/>
      <c r="X77" s="735"/>
      <c r="Y77" s="735"/>
      <c r="Z77" s="735"/>
      <c r="AA77" s="735"/>
      <c r="AB77" s="735"/>
      <c r="AC77" s="740"/>
      <c r="AD77" s="736">
        <v>43334</v>
      </c>
      <c r="AE77" s="737">
        <f t="shared" ca="1" si="4"/>
        <v>-1144</v>
      </c>
      <c r="AF77" s="649" t="s">
        <v>2343</v>
      </c>
    </row>
    <row r="78" spans="1:32" s="745" customFormat="1" ht="89.25" x14ac:dyDescent="0.2">
      <c r="A78" s="742" t="s">
        <v>2150</v>
      </c>
      <c r="B78" s="649"/>
      <c r="C78" s="649" t="s">
        <v>2151</v>
      </c>
      <c r="D78" s="743" t="s">
        <v>2168</v>
      </c>
      <c r="E78" s="743" t="s">
        <v>2153</v>
      </c>
      <c r="F78" s="728">
        <v>0</v>
      </c>
      <c r="G78" s="729">
        <v>0</v>
      </c>
      <c r="H78" s="729">
        <v>0</v>
      </c>
      <c r="I78" s="729">
        <v>0</v>
      </c>
      <c r="J78" s="729">
        <v>0</v>
      </c>
      <c r="K78" s="729">
        <v>0</v>
      </c>
      <c r="L78" s="729">
        <v>0</v>
      </c>
      <c r="M78" s="729">
        <v>0</v>
      </c>
      <c r="N78" s="729">
        <v>0</v>
      </c>
      <c r="O78" s="729">
        <v>0</v>
      </c>
      <c r="P78" s="729">
        <v>0</v>
      </c>
      <c r="Q78" s="729">
        <v>0</v>
      </c>
      <c r="R78" s="729">
        <v>0</v>
      </c>
      <c r="S78" s="730">
        <f t="shared" si="3"/>
        <v>0</v>
      </c>
      <c r="T78" s="731">
        <f t="shared" ca="1" si="5"/>
        <v>-142</v>
      </c>
      <c r="U78" s="732">
        <v>44240</v>
      </c>
      <c r="V78" s="739" t="s">
        <v>2189</v>
      </c>
      <c r="W78" s="751"/>
      <c r="X78" s="735"/>
      <c r="Y78" s="735"/>
      <c r="Z78" s="735"/>
      <c r="AA78" s="735"/>
      <c r="AB78" s="735"/>
      <c r="AC78" s="740"/>
      <c r="AD78" s="736">
        <v>43326</v>
      </c>
      <c r="AE78" s="737">
        <f t="shared" ca="1" si="4"/>
        <v>-1136</v>
      </c>
      <c r="AF78" s="649" t="s">
        <v>2343</v>
      </c>
    </row>
    <row r="79" spans="1:32" s="745" customFormat="1" ht="89.25" x14ac:dyDescent="0.2">
      <c r="A79" s="742" t="s">
        <v>2150</v>
      </c>
      <c r="B79" s="649"/>
      <c r="C79" s="649" t="s">
        <v>2151</v>
      </c>
      <c r="D79" s="743" t="s">
        <v>2169</v>
      </c>
      <c r="E79" s="743" t="s">
        <v>2153</v>
      </c>
      <c r="F79" s="728">
        <v>0</v>
      </c>
      <c r="G79" s="729">
        <v>0</v>
      </c>
      <c r="H79" s="729">
        <v>0</v>
      </c>
      <c r="I79" s="729">
        <v>0</v>
      </c>
      <c r="J79" s="729">
        <v>0</v>
      </c>
      <c r="K79" s="729">
        <v>0</v>
      </c>
      <c r="L79" s="729">
        <v>0</v>
      </c>
      <c r="M79" s="729">
        <v>0</v>
      </c>
      <c r="N79" s="729">
        <v>0</v>
      </c>
      <c r="O79" s="729">
        <v>0</v>
      </c>
      <c r="P79" s="729">
        <v>0</v>
      </c>
      <c r="Q79" s="729">
        <v>0</v>
      </c>
      <c r="R79" s="729">
        <v>0</v>
      </c>
      <c r="S79" s="730">
        <f t="shared" si="3"/>
        <v>0</v>
      </c>
      <c r="T79" s="731">
        <f t="shared" ca="1" si="5"/>
        <v>-134</v>
      </c>
      <c r="U79" s="732">
        <v>44248</v>
      </c>
      <c r="V79" s="739" t="s">
        <v>2184</v>
      </c>
      <c r="W79" s="751"/>
      <c r="X79" s="735"/>
      <c r="Y79" s="735"/>
      <c r="Z79" s="735"/>
      <c r="AA79" s="735"/>
      <c r="AB79" s="735"/>
      <c r="AC79" s="740"/>
      <c r="AD79" s="736">
        <v>43334</v>
      </c>
      <c r="AE79" s="737">
        <f t="shared" ca="1" si="4"/>
        <v>-1144</v>
      </c>
      <c r="AF79" s="649" t="s">
        <v>2343</v>
      </c>
    </row>
    <row r="80" spans="1:32" s="745" customFormat="1" ht="89.25" x14ac:dyDescent="0.2">
      <c r="A80" s="742" t="s">
        <v>2150</v>
      </c>
      <c r="B80" s="649"/>
      <c r="C80" s="649" t="s">
        <v>2151</v>
      </c>
      <c r="D80" s="743" t="s">
        <v>2405</v>
      </c>
      <c r="E80" s="743" t="s">
        <v>2153</v>
      </c>
      <c r="F80" s="728">
        <v>0</v>
      </c>
      <c r="G80" s="729">
        <v>0</v>
      </c>
      <c r="H80" s="729">
        <v>0</v>
      </c>
      <c r="I80" s="729">
        <v>0</v>
      </c>
      <c r="J80" s="729">
        <v>0</v>
      </c>
      <c r="K80" s="729">
        <v>0</v>
      </c>
      <c r="L80" s="729">
        <v>0</v>
      </c>
      <c r="M80" s="729">
        <v>0</v>
      </c>
      <c r="N80" s="729">
        <v>0</v>
      </c>
      <c r="O80" s="729">
        <v>0</v>
      </c>
      <c r="P80" s="729">
        <v>0</v>
      </c>
      <c r="Q80" s="729">
        <v>0</v>
      </c>
      <c r="R80" s="729">
        <v>0</v>
      </c>
      <c r="S80" s="730">
        <f t="shared" si="3"/>
        <v>0</v>
      </c>
      <c r="T80" s="731">
        <f t="shared" ca="1" si="5"/>
        <v>-134</v>
      </c>
      <c r="U80" s="732">
        <v>44248</v>
      </c>
      <c r="V80" s="739" t="s">
        <v>2184</v>
      </c>
      <c r="W80" s="751"/>
      <c r="X80" s="735"/>
      <c r="Y80" s="735"/>
      <c r="Z80" s="735"/>
      <c r="AA80" s="735"/>
      <c r="AB80" s="735"/>
      <c r="AC80" s="740"/>
      <c r="AD80" s="736">
        <v>43334</v>
      </c>
      <c r="AE80" s="737">
        <f t="shared" ca="1" si="4"/>
        <v>-1144</v>
      </c>
      <c r="AF80" s="649" t="s">
        <v>2343</v>
      </c>
    </row>
    <row r="81" spans="1:32" s="745" customFormat="1" ht="89.25" x14ac:dyDescent="0.2">
      <c r="A81" s="742" t="s">
        <v>2150</v>
      </c>
      <c r="B81" s="649"/>
      <c r="C81" s="649" t="s">
        <v>2151</v>
      </c>
      <c r="D81" s="743" t="s">
        <v>2170</v>
      </c>
      <c r="E81" s="743" t="s">
        <v>2153</v>
      </c>
      <c r="F81" s="728">
        <v>0</v>
      </c>
      <c r="G81" s="729">
        <v>0</v>
      </c>
      <c r="H81" s="729">
        <v>0</v>
      </c>
      <c r="I81" s="729">
        <v>0</v>
      </c>
      <c r="J81" s="729">
        <v>0</v>
      </c>
      <c r="K81" s="729">
        <v>0</v>
      </c>
      <c r="L81" s="729">
        <v>0</v>
      </c>
      <c r="M81" s="729">
        <v>0</v>
      </c>
      <c r="N81" s="729">
        <v>0</v>
      </c>
      <c r="O81" s="729">
        <v>0</v>
      </c>
      <c r="P81" s="729">
        <v>0</v>
      </c>
      <c r="Q81" s="729">
        <v>0</v>
      </c>
      <c r="R81" s="729">
        <v>0</v>
      </c>
      <c r="S81" s="730">
        <f t="shared" si="3"/>
        <v>0</v>
      </c>
      <c r="T81" s="731">
        <f t="shared" ca="1" si="5"/>
        <v>-134</v>
      </c>
      <c r="U81" s="732">
        <v>44248</v>
      </c>
      <c r="V81" s="739" t="s">
        <v>2184</v>
      </c>
      <c r="W81" s="751"/>
      <c r="X81" s="735"/>
      <c r="Y81" s="735"/>
      <c r="Z81" s="735"/>
      <c r="AA81" s="735"/>
      <c r="AB81" s="735"/>
      <c r="AC81" s="740"/>
      <c r="AD81" s="736">
        <v>43334</v>
      </c>
      <c r="AE81" s="737">
        <f t="shared" ca="1" si="4"/>
        <v>-1144</v>
      </c>
      <c r="AF81" s="649" t="s">
        <v>2343</v>
      </c>
    </row>
    <row r="82" spans="1:32" s="745" customFormat="1" ht="89.25" x14ac:dyDescent="0.2">
      <c r="A82" s="742" t="s">
        <v>2150</v>
      </c>
      <c r="B82" s="649"/>
      <c r="C82" s="649" t="s">
        <v>2151</v>
      </c>
      <c r="D82" s="743" t="s">
        <v>2171</v>
      </c>
      <c r="E82" s="743" t="s">
        <v>2153</v>
      </c>
      <c r="F82" s="728">
        <v>0</v>
      </c>
      <c r="G82" s="729">
        <v>0</v>
      </c>
      <c r="H82" s="729">
        <v>0</v>
      </c>
      <c r="I82" s="729">
        <v>0</v>
      </c>
      <c r="J82" s="729">
        <v>0</v>
      </c>
      <c r="K82" s="729">
        <v>500</v>
      </c>
      <c r="L82" s="729">
        <v>0</v>
      </c>
      <c r="M82" s="729">
        <v>0</v>
      </c>
      <c r="N82" s="729">
        <v>0</v>
      </c>
      <c r="O82" s="729">
        <v>0</v>
      </c>
      <c r="P82" s="729">
        <v>0</v>
      </c>
      <c r="Q82" s="729">
        <v>0</v>
      </c>
      <c r="R82" s="729">
        <v>0</v>
      </c>
      <c r="S82" s="730">
        <f t="shared" ref="S82:S145" si="6">SUM(G82:R82)</f>
        <v>500</v>
      </c>
      <c r="T82" s="731">
        <f t="shared" ca="1" si="5"/>
        <v>-134</v>
      </c>
      <c r="U82" s="732">
        <v>44248</v>
      </c>
      <c r="V82" s="739" t="s">
        <v>2184</v>
      </c>
      <c r="W82" s="751"/>
      <c r="X82" s="735"/>
      <c r="Y82" s="735"/>
      <c r="Z82" s="735"/>
      <c r="AA82" s="735"/>
      <c r="AB82" s="735"/>
      <c r="AC82" s="740"/>
      <c r="AD82" s="736">
        <v>43334</v>
      </c>
      <c r="AE82" s="737">
        <f t="shared" ca="1" si="4"/>
        <v>-1144</v>
      </c>
      <c r="AF82" s="649" t="s">
        <v>2343</v>
      </c>
    </row>
    <row r="83" spans="1:32" s="745" customFormat="1" ht="89.25" x14ac:dyDescent="0.2">
      <c r="A83" s="742" t="s">
        <v>2150</v>
      </c>
      <c r="B83" s="649"/>
      <c r="C83" s="649" t="s">
        <v>2151</v>
      </c>
      <c r="D83" s="743" t="s">
        <v>2172</v>
      </c>
      <c r="E83" s="743" t="s">
        <v>2153</v>
      </c>
      <c r="F83" s="728">
        <v>0</v>
      </c>
      <c r="G83" s="729">
        <v>0</v>
      </c>
      <c r="H83" s="729">
        <v>0</v>
      </c>
      <c r="I83" s="729">
        <v>0</v>
      </c>
      <c r="J83" s="729">
        <v>0</v>
      </c>
      <c r="K83" s="729">
        <v>0</v>
      </c>
      <c r="L83" s="729">
        <v>0</v>
      </c>
      <c r="M83" s="729">
        <v>0</v>
      </c>
      <c r="N83" s="729">
        <v>0</v>
      </c>
      <c r="O83" s="729">
        <v>0</v>
      </c>
      <c r="P83" s="729">
        <v>0</v>
      </c>
      <c r="Q83" s="729">
        <v>0</v>
      </c>
      <c r="R83" s="729">
        <v>0</v>
      </c>
      <c r="S83" s="730">
        <f t="shared" si="6"/>
        <v>0</v>
      </c>
      <c r="T83" s="731">
        <f t="shared" ca="1" si="5"/>
        <v>-134</v>
      </c>
      <c r="U83" s="732">
        <v>44248</v>
      </c>
      <c r="V83" s="739" t="s">
        <v>2184</v>
      </c>
      <c r="W83" s="751"/>
      <c r="X83" s="735"/>
      <c r="Y83" s="735"/>
      <c r="Z83" s="735"/>
      <c r="AA83" s="735"/>
      <c r="AB83" s="735"/>
      <c r="AC83" s="740"/>
      <c r="AD83" s="736">
        <v>43334</v>
      </c>
      <c r="AE83" s="737">
        <f t="shared" ca="1" si="4"/>
        <v>-1144</v>
      </c>
      <c r="AF83" s="649" t="s">
        <v>2343</v>
      </c>
    </row>
    <row r="84" spans="1:32" s="745" customFormat="1" ht="89.25" x14ac:dyDescent="0.2">
      <c r="A84" s="742" t="s">
        <v>2150</v>
      </c>
      <c r="B84" s="649"/>
      <c r="C84" s="649" t="s">
        <v>2151</v>
      </c>
      <c r="D84" s="743" t="s">
        <v>2173</v>
      </c>
      <c r="E84" s="743" t="s">
        <v>2153</v>
      </c>
      <c r="F84" s="728">
        <v>0</v>
      </c>
      <c r="G84" s="729">
        <v>0</v>
      </c>
      <c r="H84" s="729">
        <v>0</v>
      </c>
      <c r="I84" s="729">
        <v>0</v>
      </c>
      <c r="J84" s="729">
        <v>0</v>
      </c>
      <c r="K84" s="729">
        <v>0</v>
      </c>
      <c r="L84" s="729">
        <v>0</v>
      </c>
      <c r="M84" s="729">
        <v>0</v>
      </c>
      <c r="N84" s="729">
        <v>0</v>
      </c>
      <c r="O84" s="729">
        <v>0</v>
      </c>
      <c r="P84" s="729">
        <v>0</v>
      </c>
      <c r="Q84" s="729">
        <v>0</v>
      </c>
      <c r="R84" s="729">
        <v>0</v>
      </c>
      <c r="S84" s="730">
        <f t="shared" si="6"/>
        <v>0</v>
      </c>
      <c r="T84" s="731">
        <f t="shared" ca="1" si="5"/>
        <v>-134</v>
      </c>
      <c r="U84" s="732">
        <v>44248</v>
      </c>
      <c r="V84" s="739" t="s">
        <v>2184</v>
      </c>
      <c r="W84" s="751"/>
      <c r="X84" s="735"/>
      <c r="Y84" s="735"/>
      <c r="Z84" s="735"/>
      <c r="AA84" s="735"/>
      <c r="AB84" s="735"/>
      <c r="AC84" s="740"/>
      <c r="AD84" s="736">
        <v>43334</v>
      </c>
      <c r="AE84" s="737">
        <f t="shared" ca="1" si="4"/>
        <v>-1144</v>
      </c>
      <c r="AF84" s="649" t="s">
        <v>2343</v>
      </c>
    </row>
    <row r="85" spans="1:32" s="745" customFormat="1" ht="89.25" x14ac:dyDescent="0.2">
      <c r="A85" s="742" t="s">
        <v>2150</v>
      </c>
      <c r="B85" s="649"/>
      <c r="C85" s="649" t="s">
        <v>2151</v>
      </c>
      <c r="D85" s="743" t="s">
        <v>2174</v>
      </c>
      <c r="E85" s="743" t="s">
        <v>2153</v>
      </c>
      <c r="F85" s="728">
        <v>0</v>
      </c>
      <c r="G85" s="729">
        <v>0</v>
      </c>
      <c r="H85" s="729">
        <v>0</v>
      </c>
      <c r="I85" s="729">
        <v>0</v>
      </c>
      <c r="J85" s="729">
        <v>0</v>
      </c>
      <c r="K85" s="729">
        <v>0</v>
      </c>
      <c r="L85" s="729">
        <v>0</v>
      </c>
      <c r="M85" s="729">
        <v>0</v>
      </c>
      <c r="N85" s="729">
        <v>0</v>
      </c>
      <c r="O85" s="729">
        <v>0</v>
      </c>
      <c r="P85" s="729">
        <v>300</v>
      </c>
      <c r="Q85" s="729">
        <v>0</v>
      </c>
      <c r="R85" s="729">
        <v>0</v>
      </c>
      <c r="S85" s="730">
        <f t="shared" si="6"/>
        <v>300</v>
      </c>
      <c r="T85" s="731">
        <f t="shared" ca="1" si="5"/>
        <v>-134</v>
      </c>
      <c r="U85" s="732">
        <v>44248</v>
      </c>
      <c r="V85" s="739" t="s">
        <v>2184</v>
      </c>
      <c r="W85" s="751"/>
      <c r="X85" s="735"/>
      <c r="Y85" s="735"/>
      <c r="Z85" s="735"/>
      <c r="AA85" s="735"/>
      <c r="AB85" s="735"/>
      <c r="AC85" s="740"/>
      <c r="AD85" s="736">
        <v>43334</v>
      </c>
      <c r="AE85" s="737">
        <f t="shared" ca="1" si="4"/>
        <v>-1144</v>
      </c>
      <c r="AF85" s="649" t="s">
        <v>2343</v>
      </c>
    </row>
    <row r="86" spans="1:32" s="745" customFormat="1" ht="89.25" x14ac:dyDescent="0.2">
      <c r="A86" s="742" t="s">
        <v>2150</v>
      </c>
      <c r="B86" s="649"/>
      <c r="C86" s="649" t="s">
        <v>2151</v>
      </c>
      <c r="D86" s="743" t="s">
        <v>2175</v>
      </c>
      <c r="E86" s="743" t="s">
        <v>2153</v>
      </c>
      <c r="F86" s="728">
        <v>0</v>
      </c>
      <c r="G86" s="729">
        <v>0</v>
      </c>
      <c r="H86" s="729">
        <v>0</v>
      </c>
      <c r="I86" s="729">
        <v>0</v>
      </c>
      <c r="J86" s="729">
        <v>0</v>
      </c>
      <c r="K86" s="729">
        <v>0</v>
      </c>
      <c r="L86" s="729">
        <v>0</v>
      </c>
      <c r="M86" s="729">
        <v>0</v>
      </c>
      <c r="N86" s="729">
        <v>0</v>
      </c>
      <c r="O86" s="729">
        <v>0</v>
      </c>
      <c r="P86" s="729">
        <v>0</v>
      </c>
      <c r="Q86" s="729">
        <v>0</v>
      </c>
      <c r="R86" s="729">
        <v>0</v>
      </c>
      <c r="S86" s="730">
        <f t="shared" si="6"/>
        <v>0</v>
      </c>
      <c r="T86" s="731">
        <f t="shared" ca="1" si="5"/>
        <v>-134</v>
      </c>
      <c r="U86" s="732">
        <v>44248</v>
      </c>
      <c r="V86" s="739" t="s">
        <v>2184</v>
      </c>
      <c r="W86" s="751"/>
      <c r="X86" s="735"/>
      <c r="Y86" s="735"/>
      <c r="Z86" s="735"/>
      <c r="AA86" s="735"/>
      <c r="AB86" s="735"/>
      <c r="AC86" s="740"/>
      <c r="AD86" s="736">
        <v>43334</v>
      </c>
      <c r="AE86" s="737">
        <f t="shared" ca="1" si="4"/>
        <v>-1144</v>
      </c>
      <c r="AF86" s="649" t="s">
        <v>2343</v>
      </c>
    </row>
    <row r="87" spans="1:32" s="745" customFormat="1" ht="89.25" x14ac:dyDescent="0.2">
      <c r="A87" s="742" t="s">
        <v>2150</v>
      </c>
      <c r="B87" s="649"/>
      <c r="C87" s="649" t="s">
        <v>2151</v>
      </c>
      <c r="D87" s="743" t="s">
        <v>2176</v>
      </c>
      <c r="E87" s="743" t="s">
        <v>2153</v>
      </c>
      <c r="F87" s="728">
        <v>0</v>
      </c>
      <c r="G87" s="729">
        <v>0</v>
      </c>
      <c r="H87" s="729">
        <v>0</v>
      </c>
      <c r="I87" s="729">
        <v>0</v>
      </c>
      <c r="J87" s="729">
        <v>0</v>
      </c>
      <c r="K87" s="729">
        <v>0</v>
      </c>
      <c r="L87" s="729">
        <v>0</v>
      </c>
      <c r="M87" s="729">
        <v>0</v>
      </c>
      <c r="N87" s="729">
        <v>0</v>
      </c>
      <c r="O87" s="729">
        <v>0</v>
      </c>
      <c r="P87" s="729">
        <v>0</v>
      </c>
      <c r="Q87" s="729">
        <v>0</v>
      </c>
      <c r="R87" s="729">
        <v>0</v>
      </c>
      <c r="S87" s="730">
        <f t="shared" si="6"/>
        <v>0</v>
      </c>
      <c r="T87" s="731">
        <f t="shared" ca="1" si="5"/>
        <v>-142</v>
      </c>
      <c r="U87" s="732">
        <v>44240</v>
      </c>
      <c r="V87" s="739" t="s">
        <v>2189</v>
      </c>
      <c r="W87" s="751"/>
      <c r="X87" s="735"/>
      <c r="Y87" s="735"/>
      <c r="Z87" s="735"/>
      <c r="AA87" s="735"/>
      <c r="AB87" s="735"/>
      <c r="AC87" s="740"/>
      <c r="AD87" s="736">
        <v>43326</v>
      </c>
      <c r="AE87" s="737">
        <f t="shared" ca="1" si="4"/>
        <v>-1136</v>
      </c>
      <c r="AF87" s="649" t="s">
        <v>2343</v>
      </c>
    </row>
    <row r="88" spans="1:32" s="745" customFormat="1" ht="89.25" x14ac:dyDescent="0.2">
      <c r="A88" s="742" t="s">
        <v>2150</v>
      </c>
      <c r="B88" s="649"/>
      <c r="C88" s="649" t="s">
        <v>2151</v>
      </c>
      <c r="D88" s="743" t="s">
        <v>2177</v>
      </c>
      <c r="E88" s="743" t="s">
        <v>2153</v>
      </c>
      <c r="F88" s="728">
        <v>0</v>
      </c>
      <c r="G88" s="729">
        <v>0</v>
      </c>
      <c r="H88" s="729">
        <v>0</v>
      </c>
      <c r="I88" s="729">
        <v>0</v>
      </c>
      <c r="J88" s="729">
        <v>0</v>
      </c>
      <c r="K88" s="729">
        <v>0</v>
      </c>
      <c r="L88" s="729">
        <v>0</v>
      </c>
      <c r="M88" s="729">
        <v>0</v>
      </c>
      <c r="N88" s="729">
        <v>0</v>
      </c>
      <c r="O88" s="729">
        <v>0</v>
      </c>
      <c r="P88" s="729">
        <v>0</v>
      </c>
      <c r="Q88" s="729">
        <v>0</v>
      </c>
      <c r="R88" s="729">
        <v>0</v>
      </c>
      <c r="S88" s="730">
        <f t="shared" si="6"/>
        <v>0</v>
      </c>
      <c r="T88" s="731">
        <f t="shared" ca="1" si="5"/>
        <v>-134</v>
      </c>
      <c r="U88" s="732">
        <v>44248</v>
      </c>
      <c r="V88" s="739" t="s">
        <v>2184</v>
      </c>
      <c r="W88" s="751"/>
      <c r="X88" s="735"/>
      <c r="Y88" s="735"/>
      <c r="Z88" s="735"/>
      <c r="AA88" s="735"/>
      <c r="AB88" s="735"/>
      <c r="AC88" s="740"/>
      <c r="AD88" s="736">
        <v>43334</v>
      </c>
      <c r="AE88" s="737">
        <f t="shared" ca="1" si="4"/>
        <v>-1144</v>
      </c>
      <c r="AF88" s="649" t="s">
        <v>2343</v>
      </c>
    </row>
    <row r="89" spans="1:32" s="745" customFormat="1" ht="89.25" x14ac:dyDescent="0.2">
      <c r="A89" s="742" t="s">
        <v>2150</v>
      </c>
      <c r="B89" s="649"/>
      <c r="C89" s="649" t="s">
        <v>2151</v>
      </c>
      <c r="D89" s="743" t="s">
        <v>2178</v>
      </c>
      <c r="E89" s="743" t="s">
        <v>2153</v>
      </c>
      <c r="F89" s="728">
        <v>0</v>
      </c>
      <c r="G89" s="729">
        <v>0</v>
      </c>
      <c r="H89" s="729">
        <v>0</v>
      </c>
      <c r="I89" s="729">
        <v>0</v>
      </c>
      <c r="J89" s="729">
        <v>0</v>
      </c>
      <c r="K89" s="729">
        <v>0</v>
      </c>
      <c r="L89" s="729">
        <v>0</v>
      </c>
      <c r="M89" s="729">
        <v>0</v>
      </c>
      <c r="N89" s="729">
        <v>0</v>
      </c>
      <c r="O89" s="729">
        <v>0</v>
      </c>
      <c r="P89" s="729">
        <v>0</v>
      </c>
      <c r="Q89" s="729">
        <v>0</v>
      </c>
      <c r="R89" s="729">
        <v>0</v>
      </c>
      <c r="S89" s="730">
        <f t="shared" si="6"/>
        <v>0</v>
      </c>
      <c r="T89" s="731">
        <f t="shared" ca="1" si="5"/>
        <v>-134</v>
      </c>
      <c r="U89" s="732">
        <v>44248</v>
      </c>
      <c r="V89" s="739" t="s">
        <v>2184</v>
      </c>
      <c r="W89" s="751"/>
      <c r="X89" s="735"/>
      <c r="Y89" s="735"/>
      <c r="Z89" s="735"/>
      <c r="AA89" s="735"/>
      <c r="AB89" s="735"/>
      <c r="AC89" s="740"/>
      <c r="AD89" s="736">
        <v>43334</v>
      </c>
      <c r="AE89" s="737">
        <f t="shared" ca="1" si="4"/>
        <v>-1144</v>
      </c>
      <c r="AF89" s="649" t="s">
        <v>2343</v>
      </c>
    </row>
    <row r="90" spans="1:32" s="745" customFormat="1" ht="89.25" x14ac:dyDescent="0.2">
      <c r="A90" s="742" t="s">
        <v>2150</v>
      </c>
      <c r="B90" s="649"/>
      <c r="C90" s="649" t="s">
        <v>2151</v>
      </c>
      <c r="D90" s="743" t="s">
        <v>2179</v>
      </c>
      <c r="E90" s="743" t="s">
        <v>2153</v>
      </c>
      <c r="F90" s="728">
        <v>0</v>
      </c>
      <c r="G90" s="729">
        <v>0</v>
      </c>
      <c r="H90" s="729">
        <v>0</v>
      </c>
      <c r="I90" s="729">
        <v>0</v>
      </c>
      <c r="J90" s="729">
        <v>0</v>
      </c>
      <c r="K90" s="729">
        <v>0</v>
      </c>
      <c r="L90" s="729">
        <v>0</v>
      </c>
      <c r="M90" s="729">
        <v>0</v>
      </c>
      <c r="N90" s="729">
        <v>0</v>
      </c>
      <c r="O90" s="729">
        <v>0</v>
      </c>
      <c r="P90" s="729">
        <v>0</v>
      </c>
      <c r="Q90" s="729">
        <v>0</v>
      </c>
      <c r="R90" s="729">
        <v>0</v>
      </c>
      <c r="S90" s="730">
        <f t="shared" si="6"/>
        <v>0</v>
      </c>
      <c r="T90" s="731">
        <f t="shared" ca="1" si="5"/>
        <v>-134</v>
      </c>
      <c r="U90" s="732">
        <v>44248</v>
      </c>
      <c r="V90" s="739" t="s">
        <v>2184</v>
      </c>
      <c r="W90" s="751"/>
      <c r="X90" s="735"/>
      <c r="Y90" s="735"/>
      <c r="Z90" s="735"/>
      <c r="AA90" s="735"/>
      <c r="AB90" s="735"/>
      <c r="AC90" s="740"/>
      <c r="AD90" s="736">
        <v>43334</v>
      </c>
      <c r="AE90" s="737">
        <f t="shared" ca="1" si="4"/>
        <v>-1144</v>
      </c>
      <c r="AF90" s="649" t="s">
        <v>2343</v>
      </c>
    </row>
    <row r="91" spans="1:32" s="745" customFormat="1" ht="89.25" x14ac:dyDescent="0.2">
      <c r="A91" s="742" t="s">
        <v>2150</v>
      </c>
      <c r="B91" s="649"/>
      <c r="C91" s="649" t="s">
        <v>2151</v>
      </c>
      <c r="D91" s="743" t="s">
        <v>2180</v>
      </c>
      <c r="E91" s="743" t="s">
        <v>2153</v>
      </c>
      <c r="F91" s="728">
        <v>0</v>
      </c>
      <c r="G91" s="729">
        <v>0</v>
      </c>
      <c r="H91" s="729">
        <v>308.61</v>
      </c>
      <c r="I91" s="729">
        <v>0</v>
      </c>
      <c r="J91" s="729">
        <v>0</v>
      </c>
      <c r="K91" s="729">
        <v>0</v>
      </c>
      <c r="L91" s="729">
        <v>0</v>
      </c>
      <c r="M91" s="729">
        <v>0</v>
      </c>
      <c r="N91" s="729">
        <v>0</v>
      </c>
      <c r="O91" s="729">
        <v>0</v>
      </c>
      <c r="P91" s="729">
        <v>0</v>
      </c>
      <c r="Q91" s="729">
        <v>300</v>
      </c>
      <c r="R91" s="729">
        <v>0</v>
      </c>
      <c r="S91" s="730">
        <f t="shared" si="6"/>
        <v>608.61</v>
      </c>
      <c r="T91" s="731">
        <f t="shared" ca="1" si="5"/>
        <v>-134</v>
      </c>
      <c r="U91" s="732">
        <v>44248</v>
      </c>
      <c r="V91" s="739" t="s">
        <v>2184</v>
      </c>
      <c r="W91" s="751"/>
      <c r="X91" s="735"/>
      <c r="Y91" s="735"/>
      <c r="Z91" s="735"/>
      <c r="AA91" s="735"/>
      <c r="AB91" s="735"/>
      <c r="AC91" s="740"/>
      <c r="AD91" s="736">
        <v>43334</v>
      </c>
      <c r="AE91" s="737">
        <f t="shared" ref="AE91:AE155" ca="1" si="7">TODAY()-DATE(YEAR(AD91)+6,MONTH(AD91),DAY(AD91))</f>
        <v>-1144</v>
      </c>
      <c r="AF91" s="649" t="s">
        <v>2343</v>
      </c>
    </row>
    <row r="92" spans="1:32" s="745" customFormat="1" ht="89.25" x14ac:dyDescent="0.2">
      <c r="A92" s="742" t="s">
        <v>2150</v>
      </c>
      <c r="B92" s="649"/>
      <c r="C92" s="649" t="s">
        <v>2151</v>
      </c>
      <c r="D92" s="743" t="s">
        <v>2181</v>
      </c>
      <c r="E92" s="743" t="s">
        <v>2153</v>
      </c>
      <c r="F92" s="728">
        <v>0</v>
      </c>
      <c r="G92" s="729">
        <v>0</v>
      </c>
      <c r="H92" s="729">
        <v>0</v>
      </c>
      <c r="I92" s="729">
        <v>0</v>
      </c>
      <c r="J92" s="729">
        <v>500</v>
      </c>
      <c r="K92" s="729">
        <v>0</v>
      </c>
      <c r="L92" s="729">
        <v>0</v>
      </c>
      <c r="M92" s="729">
        <v>0</v>
      </c>
      <c r="N92" s="729">
        <v>0</v>
      </c>
      <c r="O92" s="729">
        <v>0</v>
      </c>
      <c r="P92" s="729">
        <v>0</v>
      </c>
      <c r="Q92" s="729">
        <v>0</v>
      </c>
      <c r="R92" s="729">
        <v>0</v>
      </c>
      <c r="S92" s="730">
        <f t="shared" si="6"/>
        <v>500</v>
      </c>
      <c r="T92" s="731">
        <f t="shared" ca="1" si="5"/>
        <v>-134</v>
      </c>
      <c r="U92" s="732">
        <v>44248</v>
      </c>
      <c r="V92" s="739" t="s">
        <v>2184</v>
      </c>
      <c r="W92" s="751"/>
      <c r="X92" s="735"/>
      <c r="Y92" s="735"/>
      <c r="Z92" s="735"/>
      <c r="AA92" s="735"/>
      <c r="AB92" s="735"/>
      <c r="AC92" s="740"/>
      <c r="AD92" s="736">
        <v>43334</v>
      </c>
      <c r="AE92" s="737">
        <f t="shared" ca="1" si="7"/>
        <v>-1144</v>
      </c>
      <c r="AF92" s="649" t="s">
        <v>2343</v>
      </c>
    </row>
    <row r="93" spans="1:32" s="745" customFormat="1" ht="89.25" x14ac:dyDescent="0.2">
      <c r="A93" s="742" t="s">
        <v>2150</v>
      </c>
      <c r="B93" s="649"/>
      <c r="C93" s="649" t="s">
        <v>2151</v>
      </c>
      <c r="D93" s="743" t="s">
        <v>2182</v>
      </c>
      <c r="E93" s="743" t="s">
        <v>2153</v>
      </c>
      <c r="F93" s="728">
        <v>0</v>
      </c>
      <c r="G93" s="729">
        <v>0</v>
      </c>
      <c r="H93" s="729">
        <v>0</v>
      </c>
      <c r="I93" s="729">
        <v>0</v>
      </c>
      <c r="J93" s="729">
        <v>0</v>
      </c>
      <c r="K93" s="729">
        <v>0</v>
      </c>
      <c r="L93" s="729">
        <v>0</v>
      </c>
      <c r="M93" s="729">
        <v>0</v>
      </c>
      <c r="N93" s="729">
        <v>0</v>
      </c>
      <c r="O93" s="729">
        <v>185.16</v>
      </c>
      <c r="P93" s="729">
        <v>0</v>
      </c>
      <c r="Q93" s="729">
        <v>0</v>
      </c>
      <c r="R93" s="729">
        <v>0</v>
      </c>
      <c r="S93" s="730">
        <f t="shared" si="6"/>
        <v>185.16</v>
      </c>
      <c r="T93" s="731">
        <f t="shared" ca="1" si="5"/>
        <v>-134</v>
      </c>
      <c r="U93" s="732">
        <v>44248</v>
      </c>
      <c r="V93" s="739" t="s">
        <v>2184</v>
      </c>
      <c r="W93" s="751"/>
      <c r="X93" s="735"/>
      <c r="Y93" s="735"/>
      <c r="Z93" s="735"/>
      <c r="AA93" s="735"/>
      <c r="AB93" s="735"/>
      <c r="AC93" s="740"/>
      <c r="AD93" s="736">
        <v>43334</v>
      </c>
      <c r="AE93" s="737">
        <f t="shared" ca="1" si="7"/>
        <v>-1144</v>
      </c>
      <c r="AF93" s="649" t="s">
        <v>2343</v>
      </c>
    </row>
    <row r="94" spans="1:32" s="745" customFormat="1" ht="89.25" x14ac:dyDescent="0.2">
      <c r="A94" s="742" t="s">
        <v>2150</v>
      </c>
      <c r="B94" s="649"/>
      <c r="C94" s="649" t="s">
        <v>2151</v>
      </c>
      <c r="D94" s="743" t="s">
        <v>2183</v>
      </c>
      <c r="E94" s="743" t="s">
        <v>2153</v>
      </c>
      <c r="F94" s="728">
        <v>0</v>
      </c>
      <c r="G94" s="729">
        <v>462.91</v>
      </c>
      <c r="H94" s="729">
        <v>0</v>
      </c>
      <c r="I94" s="729">
        <v>0</v>
      </c>
      <c r="J94" s="729">
        <v>0</v>
      </c>
      <c r="K94" s="729">
        <v>0</v>
      </c>
      <c r="L94" s="729">
        <v>0</v>
      </c>
      <c r="M94" s="729">
        <v>0</v>
      </c>
      <c r="N94" s="729">
        <v>0</v>
      </c>
      <c r="O94" s="729">
        <v>0</v>
      </c>
      <c r="P94" s="729">
        <v>510.2</v>
      </c>
      <c r="Q94" s="729">
        <v>0</v>
      </c>
      <c r="R94" s="729">
        <v>0</v>
      </c>
      <c r="S94" s="730">
        <f t="shared" si="6"/>
        <v>973.11</v>
      </c>
      <c r="T94" s="731">
        <f t="shared" ca="1" si="5"/>
        <v>-134</v>
      </c>
      <c r="U94" s="732">
        <v>44248</v>
      </c>
      <c r="V94" s="739" t="s">
        <v>2184</v>
      </c>
      <c r="W94" s="751"/>
      <c r="X94" s="735"/>
      <c r="Y94" s="735"/>
      <c r="Z94" s="735"/>
      <c r="AA94" s="735"/>
      <c r="AB94" s="735"/>
      <c r="AC94" s="740"/>
      <c r="AD94" s="736">
        <v>43334</v>
      </c>
      <c r="AE94" s="737">
        <f t="shared" ca="1" si="7"/>
        <v>-1144</v>
      </c>
      <c r="AF94" s="649" t="s">
        <v>2343</v>
      </c>
    </row>
    <row r="95" spans="1:32" s="745" customFormat="1" ht="63.75" x14ac:dyDescent="0.2">
      <c r="A95" s="742" t="s">
        <v>2186</v>
      </c>
      <c r="B95" s="649"/>
      <c r="C95" s="649"/>
      <c r="D95" s="743" t="s">
        <v>2115</v>
      </c>
      <c r="E95" s="743" t="s">
        <v>2382</v>
      </c>
      <c r="F95" s="728">
        <v>28357.22</v>
      </c>
      <c r="G95" s="729">
        <v>0</v>
      </c>
      <c r="H95" s="729">
        <v>0</v>
      </c>
      <c r="I95" s="729">
        <v>0</v>
      </c>
      <c r="J95" s="729">
        <v>0</v>
      </c>
      <c r="K95" s="729">
        <v>0</v>
      </c>
      <c r="L95" s="729">
        <v>0</v>
      </c>
      <c r="M95" s="729">
        <v>0</v>
      </c>
      <c r="N95" s="729">
        <v>0</v>
      </c>
      <c r="O95" s="729">
        <v>0</v>
      </c>
      <c r="P95" s="729">
        <v>0</v>
      </c>
      <c r="Q95" s="729">
        <v>0</v>
      </c>
      <c r="R95" s="729">
        <v>0</v>
      </c>
      <c r="S95" s="730">
        <f t="shared" si="6"/>
        <v>0</v>
      </c>
      <c r="T95" s="731">
        <f t="shared" ca="1" si="5"/>
        <v>-815</v>
      </c>
      <c r="U95" s="732">
        <v>43567</v>
      </c>
      <c r="V95" s="739" t="s">
        <v>2188</v>
      </c>
      <c r="W95" s="751"/>
      <c r="X95" s="735"/>
      <c r="Y95" s="735"/>
      <c r="Z95" s="735"/>
      <c r="AA95" s="735"/>
      <c r="AB95" s="735"/>
      <c r="AC95" s="740">
        <v>43532</v>
      </c>
      <c r="AD95" s="736">
        <v>43325</v>
      </c>
      <c r="AE95" s="737">
        <f t="shared" ca="1" si="7"/>
        <v>-1135</v>
      </c>
      <c r="AF95" s="649"/>
    </row>
    <row r="96" spans="1:32" s="745" customFormat="1" ht="38.25" x14ac:dyDescent="0.2">
      <c r="A96" s="742" t="s">
        <v>2190</v>
      </c>
      <c r="B96" s="649"/>
      <c r="C96" s="649"/>
      <c r="D96" s="743" t="s">
        <v>2191</v>
      </c>
      <c r="E96" s="743" t="s">
        <v>2192</v>
      </c>
      <c r="F96" s="728">
        <v>15600</v>
      </c>
      <c r="G96" s="729">
        <v>0</v>
      </c>
      <c r="H96" s="729">
        <f>1805.8125</f>
        <v>1805.8125</v>
      </c>
      <c r="I96" s="729">
        <v>1617.39</v>
      </c>
      <c r="J96" s="729">
        <v>0</v>
      </c>
      <c r="K96" s="729">
        <v>0</v>
      </c>
      <c r="L96" s="729">
        <v>0</v>
      </c>
      <c r="M96" s="729">
        <v>0</v>
      </c>
      <c r="N96" s="729">
        <v>0</v>
      </c>
      <c r="O96" s="729">
        <v>0</v>
      </c>
      <c r="P96" s="729">
        <v>0</v>
      </c>
      <c r="Q96" s="729">
        <v>0</v>
      </c>
      <c r="R96" s="729">
        <v>0</v>
      </c>
      <c r="S96" s="730">
        <f t="shared" si="6"/>
        <v>3423.2025000000003</v>
      </c>
      <c r="T96" s="731">
        <f t="shared" ref="T96:T159" ca="1" si="8">U96-$AE$3</f>
        <v>-701</v>
      </c>
      <c r="U96" s="732">
        <v>43681</v>
      </c>
      <c r="V96" s="739" t="s">
        <v>2193</v>
      </c>
      <c r="W96" s="751" t="s">
        <v>2462</v>
      </c>
      <c r="X96" s="735"/>
      <c r="Y96" s="735"/>
      <c r="Z96" s="735"/>
      <c r="AA96" s="735"/>
      <c r="AB96" s="735"/>
      <c r="AC96" s="740">
        <v>43634</v>
      </c>
      <c r="AD96" s="736">
        <v>43317</v>
      </c>
      <c r="AE96" s="737">
        <f t="shared" ca="1" si="7"/>
        <v>-1127</v>
      </c>
      <c r="AF96" s="649"/>
    </row>
    <row r="97" spans="1:32" s="745" customFormat="1" ht="89.25" x14ac:dyDescent="0.2">
      <c r="A97" s="742" t="s">
        <v>2150</v>
      </c>
      <c r="B97" s="649"/>
      <c r="C97" s="649" t="s">
        <v>2151</v>
      </c>
      <c r="D97" s="743" t="s">
        <v>2194</v>
      </c>
      <c r="E97" s="743" t="s">
        <v>2153</v>
      </c>
      <c r="F97" s="728">
        <v>0</v>
      </c>
      <c r="G97" s="729">
        <v>0</v>
      </c>
      <c r="H97" s="729">
        <v>0</v>
      </c>
      <c r="I97" s="729">
        <v>0</v>
      </c>
      <c r="J97" s="729">
        <v>0</v>
      </c>
      <c r="K97" s="729">
        <v>0</v>
      </c>
      <c r="L97" s="729">
        <v>0</v>
      </c>
      <c r="M97" s="729">
        <v>0</v>
      </c>
      <c r="N97" s="729">
        <v>415.31</v>
      </c>
      <c r="O97" s="729">
        <v>0</v>
      </c>
      <c r="P97" s="729">
        <v>0</v>
      </c>
      <c r="Q97" s="729">
        <v>0</v>
      </c>
      <c r="R97" s="729">
        <v>0</v>
      </c>
      <c r="S97" s="730">
        <f t="shared" si="6"/>
        <v>415.31</v>
      </c>
      <c r="T97" s="731">
        <f t="shared" ca="1" si="8"/>
        <v>-141</v>
      </c>
      <c r="U97" s="732">
        <v>44241</v>
      </c>
      <c r="V97" s="739" t="s">
        <v>2195</v>
      </c>
      <c r="W97" s="751"/>
      <c r="X97" s="735"/>
      <c r="Y97" s="735"/>
      <c r="Z97" s="735"/>
      <c r="AA97" s="735"/>
      <c r="AB97" s="735"/>
      <c r="AC97" s="740"/>
      <c r="AD97" s="736">
        <v>43327</v>
      </c>
      <c r="AE97" s="737">
        <f t="shared" ca="1" si="7"/>
        <v>-1137</v>
      </c>
      <c r="AF97" s="649" t="s">
        <v>2343</v>
      </c>
    </row>
    <row r="98" spans="1:32" s="745" customFormat="1" ht="89.25" x14ac:dyDescent="0.2">
      <c r="A98" s="742" t="s">
        <v>2150</v>
      </c>
      <c r="B98" s="649"/>
      <c r="C98" s="649" t="s">
        <v>2151</v>
      </c>
      <c r="D98" s="743" t="s">
        <v>2196</v>
      </c>
      <c r="E98" s="743" t="s">
        <v>2153</v>
      </c>
      <c r="F98" s="728">
        <v>0</v>
      </c>
      <c r="G98" s="729">
        <v>0</v>
      </c>
      <c r="H98" s="729">
        <v>0</v>
      </c>
      <c r="I98" s="729">
        <v>0</v>
      </c>
      <c r="J98" s="729">
        <v>0</v>
      </c>
      <c r="K98" s="729">
        <v>0</v>
      </c>
      <c r="L98" s="729">
        <v>0</v>
      </c>
      <c r="M98" s="729">
        <v>0</v>
      </c>
      <c r="N98" s="729">
        <v>0</v>
      </c>
      <c r="O98" s="729">
        <v>0</v>
      </c>
      <c r="P98" s="729">
        <v>0</v>
      </c>
      <c r="Q98" s="729">
        <v>500</v>
      </c>
      <c r="R98" s="729">
        <v>0</v>
      </c>
      <c r="S98" s="730">
        <f t="shared" si="6"/>
        <v>500</v>
      </c>
      <c r="T98" s="731">
        <f t="shared" ca="1" si="8"/>
        <v>-142</v>
      </c>
      <c r="U98" s="732">
        <v>44240</v>
      </c>
      <c r="V98" s="739" t="s">
        <v>2189</v>
      </c>
      <c r="W98" s="751"/>
      <c r="X98" s="735"/>
      <c r="Y98" s="735"/>
      <c r="Z98" s="735"/>
      <c r="AA98" s="735"/>
      <c r="AB98" s="735"/>
      <c r="AC98" s="740"/>
      <c r="AD98" s="736">
        <v>43326</v>
      </c>
      <c r="AE98" s="737">
        <f t="shared" ca="1" si="7"/>
        <v>-1136</v>
      </c>
      <c r="AF98" s="649" t="s">
        <v>2343</v>
      </c>
    </row>
    <row r="99" spans="1:32" s="745" customFormat="1" ht="89.25" x14ac:dyDescent="0.2">
      <c r="A99" s="742" t="s">
        <v>2150</v>
      </c>
      <c r="B99" s="649"/>
      <c r="C99" s="649" t="s">
        <v>2151</v>
      </c>
      <c r="D99" s="743" t="s">
        <v>2197</v>
      </c>
      <c r="E99" s="743" t="s">
        <v>2153</v>
      </c>
      <c r="F99" s="728">
        <v>0</v>
      </c>
      <c r="G99" s="729">
        <v>0</v>
      </c>
      <c r="H99" s="729">
        <v>0</v>
      </c>
      <c r="I99" s="729">
        <v>0</v>
      </c>
      <c r="J99" s="729">
        <v>0</v>
      </c>
      <c r="K99" s="729">
        <v>0</v>
      </c>
      <c r="L99" s="729">
        <v>0</v>
      </c>
      <c r="M99" s="729">
        <v>0</v>
      </c>
      <c r="N99" s="729">
        <v>0</v>
      </c>
      <c r="O99" s="729">
        <v>0</v>
      </c>
      <c r="P99" s="729">
        <v>0</v>
      </c>
      <c r="Q99" s="729">
        <v>0</v>
      </c>
      <c r="R99" s="729">
        <v>0</v>
      </c>
      <c r="S99" s="730">
        <f t="shared" si="6"/>
        <v>0</v>
      </c>
      <c r="T99" s="731">
        <f t="shared" ca="1" si="8"/>
        <v>-142</v>
      </c>
      <c r="U99" s="732">
        <v>44240</v>
      </c>
      <c r="V99" s="739" t="s">
        <v>2189</v>
      </c>
      <c r="W99" s="751"/>
      <c r="X99" s="735"/>
      <c r="Y99" s="735"/>
      <c r="Z99" s="735"/>
      <c r="AA99" s="735"/>
      <c r="AB99" s="735"/>
      <c r="AC99" s="740"/>
      <c r="AD99" s="736">
        <v>43326</v>
      </c>
      <c r="AE99" s="737">
        <f t="shared" ca="1" si="7"/>
        <v>-1136</v>
      </c>
      <c r="AF99" s="649" t="s">
        <v>2343</v>
      </c>
    </row>
    <row r="100" spans="1:32" s="745" customFormat="1" ht="89.25" x14ac:dyDescent="0.2">
      <c r="A100" s="742" t="s">
        <v>2150</v>
      </c>
      <c r="B100" s="649"/>
      <c r="C100" s="649" t="s">
        <v>2151</v>
      </c>
      <c r="D100" s="743" t="s">
        <v>2198</v>
      </c>
      <c r="E100" s="743" t="s">
        <v>2153</v>
      </c>
      <c r="F100" s="728">
        <v>0</v>
      </c>
      <c r="G100" s="729">
        <v>0</v>
      </c>
      <c r="H100" s="729">
        <v>0</v>
      </c>
      <c r="I100" s="729">
        <v>0</v>
      </c>
      <c r="J100" s="729">
        <v>0</v>
      </c>
      <c r="K100" s="729">
        <v>0</v>
      </c>
      <c r="L100" s="729">
        <v>0</v>
      </c>
      <c r="M100" s="729">
        <v>0</v>
      </c>
      <c r="N100" s="729">
        <v>0</v>
      </c>
      <c r="O100" s="729">
        <v>0</v>
      </c>
      <c r="P100" s="729">
        <v>0</v>
      </c>
      <c r="Q100" s="729">
        <v>0</v>
      </c>
      <c r="R100" s="729">
        <v>0</v>
      </c>
      <c r="S100" s="730">
        <f t="shared" si="6"/>
        <v>0</v>
      </c>
      <c r="T100" s="749">
        <f t="shared" ca="1" si="8"/>
        <v>-142</v>
      </c>
      <c r="U100" s="732">
        <v>44240</v>
      </c>
      <c r="V100" s="733" t="s">
        <v>2189</v>
      </c>
      <c r="W100" s="751"/>
      <c r="X100" s="735"/>
      <c r="Y100" s="735"/>
      <c r="Z100" s="735"/>
      <c r="AA100" s="735"/>
      <c r="AB100" s="735"/>
      <c r="AC100" s="740"/>
      <c r="AD100" s="736">
        <v>43326</v>
      </c>
      <c r="AE100" s="750">
        <f t="shared" ca="1" si="7"/>
        <v>-1136</v>
      </c>
      <c r="AF100" s="649" t="s">
        <v>2343</v>
      </c>
    </row>
    <row r="101" spans="1:32" s="745" customFormat="1" ht="89.25" x14ac:dyDescent="0.2">
      <c r="A101" s="742" t="s">
        <v>2150</v>
      </c>
      <c r="B101" s="649"/>
      <c r="C101" s="649" t="s">
        <v>2151</v>
      </c>
      <c r="D101" s="743" t="s">
        <v>2199</v>
      </c>
      <c r="E101" s="743" t="s">
        <v>2153</v>
      </c>
      <c r="F101" s="728">
        <v>0</v>
      </c>
      <c r="G101" s="729">
        <v>0</v>
      </c>
      <c r="H101" s="729">
        <v>0</v>
      </c>
      <c r="I101" s="729">
        <v>0</v>
      </c>
      <c r="J101" s="729">
        <v>0</v>
      </c>
      <c r="K101" s="729">
        <v>0</v>
      </c>
      <c r="L101" s="729">
        <v>0</v>
      </c>
      <c r="M101" s="729">
        <v>0</v>
      </c>
      <c r="N101" s="729">
        <v>0</v>
      </c>
      <c r="O101" s="729">
        <v>0</v>
      </c>
      <c r="P101" s="729">
        <v>0</v>
      </c>
      <c r="Q101" s="729">
        <v>0</v>
      </c>
      <c r="R101" s="729">
        <v>0</v>
      </c>
      <c r="S101" s="730">
        <f t="shared" si="6"/>
        <v>0</v>
      </c>
      <c r="T101" s="731">
        <f t="shared" ca="1" si="8"/>
        <v>-142</v>
      </c>
      <c r="U101" s="732">
        <v>44240</v>
      </c>
      <c r="V101" s="739" t="s">
        <v>2189</v>
      </c>
      <c r="W101" s="751"/>
      <c r="X101" s="735"/>
      <c r="Y101" s="735"/>
      <c r="Z101" s="735"/>
      <c r="AA101" s="735"/>
      <c r="AB101" s="735"/>
      <c r="AC101" s="740"/>
      <c r="AD101" s="736">
        <v>43326</v>
      </c>
      <c r="AE101" s="737">
        <f t="shared" ca="1" si="7"/>
        <v>-1136</v>
      </c>
      <c r="AF101" s="649" t="s">
        <v>2343</v>
      </c>
    </row>
    <row r="102" spans="1:32" s="745" customFormat="1" ht="89.25" x14ac:dyDescent="0.2">
      <c r="A102" s="742" t="s">
        <v>2150</v>
      </c>
      <c r="B102" s="649"/>
      <c r="C102" s="649" t="s">
        <v>2151</v>
      </c>
      <c r="D102" s="743" t="s">
        <v>2200</v>
      </c>
      <c r="E102" s="743" t="s">
        <v>2153</v>
      </c>
      <c r="F102" s="728">
        <v>0</v>
      </c>
      <c r="G102" s="729">
        <v>0</v>
      </c>
      <c r="H102" s="729">
        <v>0</v>
      </c>
      <c r="I102" s="729">
        <v>0</v>
      </c>
      <c r="J102" s="729">
        <v>0</v>
      </c>
      <c r="K102" s="729">
        <v>0</v>
      </c>
      <c r="L102" s="729">
        <v>0</v>
      </c>
      <c r="M102" s="729">
        <v>0</v>
      </c>
      <c r="N102" s="729">
        <v>0</v>
      </c>
      <c r="O102" s="729">
        <v>0</v>
      </c>
      <c r="P102" s="729">
        <v>0</v>
      </c>
      <c r="Q102" s="729">
        <v>0</v>
      </c>
      <c r="R102" s="729">
        <v>0</v>
      </c>
      <c r="S102" s="730">
        <f t="shared" si="6"/>
        <v>0</v>
      </c>
      <c r="T102" s="731">
        <f t="shared" ca="1" si="8"/>
        <v>-142</v>
      </c>
      <c r="U102" s="732">
        <v>44240</v>
      </c>
      <c r="V102" s="739" t="s">
        <v>2189</v>
      </c>
      <c r="W102" s="751"/>
      <c r="X102" s="735"/>
      <c r="Y102" s="735"/>
      <c r="Z102" s="735"/>
      <c r="AA102" s="735"/>
      <c r="AB102" s="735"/>
      <c r="AC102" s="740"/>
      <c r="AD102" s="736">
        <v>43326</v>
      </c>
      <c r="AE102" s="737">
        <f t="shared" ca="1" si="7"/>
        <v>-1136</v>
      </c>
      <c r="AF102" s="649" t="s">
        <v>2343</v>
      </c>
    </row>
    <row r="103" spans="1:32" s="745" customFormat="1" ht="89.25" x14ac:dyDescent="0.2">
      <c r="A103" s="742" t="s">
        <v>2150</v>
      </c>
      <c r="B103" s="649"/>
      <c r="C103" s="649" t="s">
        <v>2151</v>
      </c>
      <c r="D103" s="743" t="s">
        <v>2201</v>
      </c>
      <c r="E103" s="743" t="s">
        <v>2153</v>
      </c>
      <c r="F103" s="728">
        <v>0</v>
      </c>
      <c r="G103" s="729">
        <v>0</v>
      </c>
      <c r="H103" s="729">
        <v>0</v>
      </c>
      <c r="I103" s="729">
        <v>0</v>
      </c>
      <c r="J103" s="729">
        <v>0</v>
      </c>
      <c r="K103" s="729">
        <v>0</v>
      </c>
      <c r="L103" s="729">
        <v>0</v>
      </c>
      <c r="M103" s="729">
        <v>0</v>
      </c>
      <c r="N103" s="729">
        <v>0</v>
      </c>
      <c r="O103" s="729">
        <v>0</v>
      </c>
      <c r="P103" s="729">
        <v>0</v>
      </c>
      <c r="Q103" s="729">
        <v>0</v>
      </c>
      <c r="R103" s="729">
        <v>0</v>
      </c>
      <c r="S103" s="730">
        <f t="shared" si="6"/>
        <v>0</v>
      </c>
      <c r="T103" s="731">
        <f t="shared" ca="1" si="8"/>
        <v>-142</v>
      </c>
      <c r="U103" s="732">
        <v>44240</v>
      </c>
      <c r="V103" s="739" t="s">
        <v>2189</v>
      </c>
      <c r="W103" s="751"/>
      <c r="X103" s="735"/>
      <c r="Y103" s="735"/>
      <c r="Z103" s="735"/>
      <c r="AA103" s="735"/>
      <c r="AB103" s="735"/>
      <c r="AC103" s="740"/>
      <c r="AD103" s="736">
        <v>43326</v>
      </c>
      <c r="AE103" s="737">
        <f t="shared" ca="1" si="7"/>
        <v>-1136</v>
      </c>
      <c r="AF103" s="649" t="s">
        <v>2343</v>
      </c>
    </row>
    <row r="104" spans="1:32" s="745" customFormat="1" ht="89.25" x14ac:dyDescent="0.2">
      <c r="A104" s="742" t="s">
        <v>2150</v>
      </c>
      <c r="B104" s="649"/>
      <c r="C104" s="649" t="s">
        <v>2151</v>
      </c>
      <c r="D104" s="743" t="s">
        <v>2202</v>
      </c>
      <c r="E104" s="743" t="s">
        <v>2153</v>
      </c>
      <c r="F104" s="728">
        <v>0</v>
      </c>
      <c r="G104" s="729">
        <v>0</v>
      </c>
      <c r="H104" s="729">
        <v>0</v>
      </c>
      <c r="I104" s="729">
        <v>0</v>
      </c>
      <c r="J104" s="729">
        <v>0</v>
      </c>
      <c r="K104" s="729">
        <v>500</v>
      </c>
      <c r="L104" s="729">
        <v>0</v>
      </c>
      <c r="M104" s="729">
        <v>0</v>
      </c>
      <c r="N104" s="729">
        <v>0</v>
      </c>
      <c r="O104" s="729">
        <v>500</v>
      </c>
      <c r="P104" s="729">
        <v>538.29</v>
      </c>
      <c r="Q104" s="729">
        <v>0</v>
      </c>
      <c r="R104" s="729">
        <v>0</v>
      </c>
      <c r="S104" s="730">
        <f t="shared" si="6"/>
        <v>1538.29</v>
      </c>
      <c r="T104" s="731">
        <f t="shared" ca="1" si="8"/>
        <v>-134</v>
      </c>
      <c r="U104" s="732">
        <v>44248</v>
      </c>
      <c r="V104" s="739" t="s">
        <v>2184</v>
      </c>
      <c r="W104" s="751"/>
      <c r="X104" s="735"/>
      <c r="Y104" s="735"/>
      <c r="Z104" s="735"/>
      <c r="AA104" s="735"/>
      <c r="AB104" s="735"/>
      <c r="AC104" s="740"/>
      <c r="AD104" s="736">
        <v>43334</v>
      </c>
      <c r="AE104" s="737">
        <f t="shared" ca="1" si="7"/>
        <v>-1144</v>
      </c>
      <c r="AF104" s="649" t="s">
        <v>2343</v>
      </c>
    </row>
    <row r="105" spans="1:32" s="745" customFormat="1" ht="89.25" x14ac:dyDescent="0.2">
      <c r="A105" s="742" t="s">
        <v>2150</v>
      </c>
      <c r="B105" s="649"/>
      <c r="C105" s="649" t="s">
        <v>2151</v>
      </c>
      <c r="D105" s="743" t="s">
        <v>2203</v>
      </c>
      <c r="E105" s="743" t="s">
        <v>2153</v>
      </c>
      <c r="F105" s="728">
        <v>0</v>
      </c>
      <c r="G105" s="729">
        <v>0</v>
      </c>
      <c r="H105" s="729">
        <v>0</v>
      </c>
      <c r="I105" s="729">
        <v>0</v>
      </c>
      <c r="J105" s="729">
        <v>0</v>
      </c>
      <c r="K105" s="729">
        <v>0</v>
      </c>
      <c r="L105" s="729">
        <v>0</v>
      </c>
      <c r="M105" s="729">
        <v>0</v>
      </c>
      <c r="N105" s="729">
        <f>500+133.69</f>
        <v>633.69000000000005</v>
      </c>
      <c r="O105" s="729">
        <v>0</v>
      </c>
      <c r="P105" s="729">
        <v>0</v>
      </c>
      <c r="Q105" s="729">
        <v>623.44000000000005</v>
      </c>
      <c r="R105" s="729">
        <v>0</v>
      </c>
      <c r="S105" s="730">
        <f t="shared" si="6"/>
        <v>1257.1300000000001</v>
      </c>
      <c r="T105" s="731">
        <f t="shared" ca="1" si="8"/>
        <v>-134</v>
      </c>
      <c r="U105" s="732">
        <v>44248</v>
      </c>
      <c r="V105" s="739" t="s">
        <v>2184</v>
      </c>
      <c r="W105" s="751"/>
      <c r="X105" s="735"/>
      <c r="Y105" s="735"/>
      <c r="Z105" s="735"/>
      <c r="AA105" s="735"/>
      <c r="AB105" s="735"/>
      <c r="AC105" s="740"/>
      <c r="AD105" s="736">
        <v>43334</v>
      </c>
      <c r="AE105" s="737">
        <f t="shared" ca="1" si="7"/>
        <v>-1144</v>
      </c>
      <c r="AF105" s="649" t="s">
        <v>2343</v>
      </c>
    </row>
    <row r="106" spans="1:32" s="745" customFormat="1" ht="89.25" x14ac:dyDescent="0.2">
      <c r="A106" s="742" t="s">
        <v>2150</v>
      </c>
      <c r="B106" s="649"/>
      <c r="C106" s="649" t="s">
        <v>2151</v>
      </c>
      <c r="D106" s="743" t="s">
        <v>2204</v>
      </c>
      <c r="E106" s="743" t="s">
        <v>2153</v>
      </c>
      <c r="F106" s="728">
        <v>0</v>
      </c>
      <c r="G106" s="729">
        <v>0</v>
      </c>
      <c r="H106" s="729">
        <v>0</v>
      </c>
      <c r="I106" s="729">
        <v>0</v>
      </c>
      <c r="J106" s="729">
        <v>0</v>
      </c>
      <c r="K106" s="729">
        <v>0</v>
      </c>
      <c r="L106" s="729">
        <v>0</v>
      </c>
      <c r="M106" s="729">
        <v>4500</v>
      </c>
      <c r="N106" s="729">
        <v>0</v>
      </c>
      <c r="O106" s="729">
        <v>0</v>
      </c>
      <c r="P106" s="729">
        <v>0</v>
      </c>
      <c r="Q106" s="729">
        <v>0</v>
      </c>
      <c r="R106" s="729">
        <v>0</v>
      </c>
      <c r="S106" s="730">
        <f t="shared" si="6"/>
        <v>4500</v>
      </c>
      <c r="T106" s="731">
        <f t="shared" ca="1" si="8"/>
        <v>-134</v>
      </c>
      <c r="U106" s="732">
        <v>44248</v>
      </c>
      <c r="V106" s="739" t="s">
        <v>2184</v>
      </c>
      <c r="W106" s="751"/>
      <c r="X106" s="735"/>
      <c r="Y106" s="735"/>
      <c r="Z106" s="735"/>
      <c r="AA106" s="735"/>
      <c r="AB106" s="735"/>
      <c r="AC106" s="740"/>
      <c r="AD106" s="736">
        <v>43334</v>
      </c>
      <c r="AE106" s="737">
        <f t="shared" ca="1" si="7"/>
        <v>-1144</v>
      </c>
      <c r="AF106" s="649" t="s">
        <v>2343</v>
      </c>
    </row>
    <row r="107" spans="1:32" s="745" customFormat="1" ht="89.25" x14ac:dyDescent="0.2">
      <c r="A107" s="742" t="s">
        <v>2150</v>
      </c>
      <c r="B107" s="649"/>
      <c r="C107" s="649" t="s">
        <v>2151</v>
      </c>
      <c r="D107" s="743" t="s">
        <v>2235</v>
      </c>
      <c r="E107" s="743" t="s">
        <v>2153</v>
      </c>
      <c r="F107" s="728">
        <v>0</v>
      </c>
      <c r="G107" s="729">
        <v>0</v>
      </c>
      <c r="H107" s="729">
        <v>0</v>
      </c>
      <c r="I107" s="729">
        <v>0</v>
      </c>
      <c r="J107" s="729">
        <v>0</v>
      </c>
      <c r="K107" s="729">
        <v>0</v>
      </c>
      <c r="L107" s="729">
        <v>0</v>
      </c>
      <c r="M107" s="729">
        <v>0</v>
      </c>
      <c r="N107" s="729">
        <v>0</v>
      </c>
      <c r="O107" s="729">
        <v>0</v>
      </c>
      <c r="P107" s="729">
        <v>0</v>
      </c>
      <c r="Q107" s="729">
        <v>0</v>
      </c>
      <c r="R107" s="729">
        <v>0</v>
      </c>
      <c r="S107" s="730">
        <f t="shared" si="6"/>
        <v>0</v>
      </c>
      <c r="T107" s="731">
        <f t="shared" ca="1" si="8"/>
        <v>-134</v>
      </c>
      <c r="U107" s="732">
        <v>44248</v>
      </c>
      <c r="V107" s="739" t="s">
        <v>2184</v>
      </c>
      <c r="W107" s="751"/>
      <c r="X107" s="735"/>
      <c r="Y107" s="735"/>
      <c r="Z107" s="735"/>
      <c r="AA107" s="735"/>
      <c r="AB107" s="735"/>
      <c r="AC107" s="740"/>
      <c r="AD107" s="736">
        <v>43334</v>
      </c>
      <c r="AE107" s="737">
        <f t="shared" ca="1" si="7"/>
        <v>-1144</v>
      </c>
      <c r="AF107" s="649" t="s">
        <v>2343</v>
      </c>
    </row>
    <row r="108" spans="1:32" s="745" customFormat="1" ht="89.25" x14ac:dyDescent="0.2">
      <c r="A108" s="742" t="s">
        <v>2150</v>
      </c>
      <c r="B108" s="649"/>
      <c r="C108" s="649" t="s">
        <v>2151</v>
      </c>
      <c r="D108" s="743" t="s">
        <v>2205</v>
      </c>
      <c r="E108" s="743" t="s">
        <v>2153</v>
      </c>
      <c r="F108" s="728">
        <v>0</v>
      </c>
      <c r="G108" s="729">
        <v>0</v>
      </c>
      <c r="H108" s="729">
        <v>0</v>
      </c>
      <c r="I108" s="729">
        <v>0</v>
      </c>
      <c r="J108" s="729">
        <v>0</v>
      </c>
      <c r="K108" s="729">
        <v>500</v>
      </c>
      <c r="L108" s="729">
        <v>0</v>
      </c>
      <c r="M108" s="729">
        <v>0</v>
      </c>
      <c r="N108" s="729">
        <v>0</v>
      </c>
      <c r="O108" s="729">
        <v>0</v>
      </c>
      <c r="P108" s="729">
        <v>0</v>
      </c>
      <c r="Q108" s="729">
        <v>0</v>
      </c>
      <c r="R108" s="729">
        <v>0</v>
      </c>
      <c r="S108" s="730">
        <f t="shared" si="6"/>
        <v>500</v>
      </c>
      <c r="T108" s="731">
        <f t="shared" ca="1" si="8"/>
        <v>-134</v>
      </c>
      <c r="U108" s="732">
        <v>44248</v>
      </c>
      <c r="V108" s="739" t="s">
        <v>2184</v>
      </c>
      <c r="W108" s="751"/>
      <c r="X108" s="735"/>
      <c r="Y108" s="735"/>
      <c r="Z108" s="735"/>
      <c r="AA108" s="735"/>
      <c r="AB108" s="735"/>
      <c r="AC108" s="740"/>
      <c r="AD108" s="736">
        <v>43334</v>
      </c>
      <c r="AE108" s="737">
        <f t="shared" ca="1" si="7"/>
        <v>-1144</v>
      </c>
      <c r="AF108" s="649" t="s">
        <v>2343</v>
      </c>
    </row>
    <row r="109" spans="1:32" s="745" customFormat="1" ht="89.25" x14ac:dyDescent="0.2">
      <c r="A109" s="742" t="s">
        <v>2150</v>
      </c>
      <c r="B109" s="649"/>
      <c r="C109" s="649" t="s">
        <v>2151</v>
      </c>
      <c r="D109" s="743" t="s">
        <v>2206</v>
      </c>
      <c r="E109" s="743" t="s">
        <v>2153</v>
      </c>
      <c r="F109" s="728">
        <v>0</v>
      </c>
      <c r="G109" s="729">
        <v>0</v>
      </c>
      <c r="H109" s="729">
        <v>0</v>
      </c>
      <c r="I109" s="729">
        <v>0</v>
      </c>
      <c r="J109" s="729">
        <v>0</v>
      </c>
      <c r="K109" s="729">
        <v>0</v>
      </c>
      <c r="L109" s="729">
        <v>0</v>
      </c>
      <c r="M109" s="729">
        <v>0</v>
      </c>
      <c r="N109" s="729">
        <v>0</v>
      </c>
      <c r="O109" s="729">
        <v>0</v>
      </c>
      <c r="P109" s="729">
        <v>0</v>
      </c>
      <c r="Q109" s="729">
        <v>0</v>
      </c>
      <c r="R109" s="729">
        <v>0</v>
      </c>
      <c r="S109" s="730">
        <f t="shared" si="6"/>
        <v>0</v>
      </c>
      <c r="T109" s="731">
        <f t="shared" ca="1" si="8"/>
        <v>-134</v>
      </c>
      <c r="U109" s="732">
        <v>44248</v>
      </c>
      <c r="V109" s="739" t="s">
        <v>2184</v>
      </c>
      <c r="W109" s="751"/>
      <c r="X109" s="735"/>
      <c r="Y109" s="735"/>
      <c r="Z109" s="735"/>
      <c r="AA109" s="735"/>
      <c r="AB109" s="735"/>
      <c r="AC109" s="740"/>
      <c r="AD109" s="736">
        <v>43334</v>
      </c>
      <c r="AE109" s="737">
        <f t="shared" ca="1" si="7"/>
        <v>-1144</v>
      </c>
      <c r="AF109" s="649" t="s">
        <v>2343</v>
      </c>
    </row>
    <row r="110" spans="1:32" s="745" customFormat="1" ht="89.25" x14ac:dyDescent="0.2">
      <c r="A110" s="742" t="s">
        <v>2150</v>
      </c>
      <c r="B110" s="649"/>
      <c r="C110" s="649" t="s">
        <v>2151</v>
      </c>
      <c r="D110" s="743" t="s">
        <v>2207</v>
      </c>
      <c r="E110" s="743" t="s">
        <v>2153</v>
      </c>
      <c r="F110" s="728">
        <v>0</v>
      </c>
      <c r="G110" s="729">
        <v>0</v>
      </c>
      <c r="H110" s="729">
        <v>0</v>
      </c>
      <c r="I110" s="729">
        <v>0</v>
      </c>
      <c r="J110" s="729">
        <f>612.59+402.89</f>
        <v>1015.48</v>
      </c>
      <c r="K110" s="729">
        <v>1341.73</v>
      </c>
      <c r="L110" s="729">
        <v>0</v>
      </c>
      <c r="M110" s="729">
        <v>500</v>
      </c>
      <c r="N110" s="729">
        <v>500</v>
      </c>
      <c r="O110" s="729">
        <v>0</v>
      </c>
      <c r="P110" s="729">
        <v>1672.48</v>
      </c>
      <c r="Q110" s="729">
        <v>454.3</v>
      </c>
      <c r="R110" s="729">
        <v>0</v>
      </c>
      <c r="S110" s="730">
        <f t="shared" si="6"/>
        <v>5483.9900000000007</v>
      </c>
      <c r="T110" s="731">
        <f t="shared" ca="1" si="8"/>
        <v>-134</v>
      </c>
      <c r="U110" s="732">
        <v>44248</v>
      </c>
      <c r="V110" s="739" t="s">
        <v>2184</v>
      </c>
      <c r="W110" s="751"/>
      <c r="X110" s="735"/>
      <c r="Y110" s="735"/>
      <c r="Z110" s="735"/>
      <c r="AA110" s="735"/>
      <c r="AB110" s="735"/>
      <c r="AC110" s="740"/>
      <c r="AD110" s="736">
        <v>43334</v>
      </c>
      <c r="AE110" s="737">
        <f t="shared" ca="1" si="7"/>
        <v>-1144</v>
      </c>
      <c r="AF110" s="649" t="s">
        <v>2343</v>
      </c>
    </row>
    <row r="111" spans="1:32" s="745" customFormat="1" ht="89.25" x14ac:dyDescent="0.2">
      <c r="A111" s="742" t="s">
        <v>2150</v>
      </c>
      <c r="B111" s="649"/>
      <c r="C111" s="649" t="s">
        <v>2151</v>
      </c>
      <c r="D111" s="743" t="s">
        <v>2208</v>
      </c>
      <c r="E111" s="743" t="s">
        <v>2153</v>
      </c>
      <c r="F111" s="728">
        <v>0</v>
      </c>
      <c r="G111" s="729">
        <v>0</v>
      </c>
      <c r="H111" s="729">
        <v>0</v>
      </c>
      <c r="I111" s="729">
        <v>0</v>
      </c>
      <c r="J111" s="729">
        <v>0</v>
      </c>
      <c r="K111" s="729">
        <v>0</v>
      </c>
      <c r="L111" s="729">
        <v>0</v>
      </c>
      <c r="M111" s="729">
        <v>0</v>
      </c>
      <c r="N111" s="729">
        <v>0</v>
      </c>
      <c r="O111" s="729">
        <v>0</v>
      </c>
      <c r="P111" s="729">
        <v>0</v>
      </c>
      <c r="Q111" s="729">
        <v>0</v>
      </c>
      <c r="R111" s="729">
        <v>0</v>
      </c>
      <c r="S111" s="730">
        <f t="shared" si="6"/>
        <v>0</v>
      </c>
      <c r="T111" s="731">
        <f t="shared" ca="1" si="8"/>
        <v>-134</v>
      </c>
      <c r="U111" s="732">
        <v>44248</v>
      </c>
      <c r="V111" s="739" t="s">
        <v>2184</v>
      </c>
      <c r="W111" s="751"/>
      <c r="X111" s="735"/>
      <c r="Y111" s="735"/>
      <c r="Z111" s="735"/>
      <c r="AA111" s="735"/>
      <c r="AB111" s="735"/>
      <c r="AC111" s="740"/>
      <c r="AD111" s="736">
        <v>43334</v>
      </c>
      <c r="AE111" s="737">
        <f t="shared" ca="1" si="7"/>
        <v>-1144</v>
      </c>
      <c r="AF111" s="649" t="s">
        <v>2343</v>
      </c>
    </row>
    <row r="112" spans="1:32" s="745" customFormat="1" ht="89.25" x14ac:dyDescent="0.2">
      <c r="A112" s="742" t="s">
        <v>2150</v>
      </c>
      <c r="B112" s="649"/>
      <c r="C112" s="649" t="s">
        <v>2151</v>
      </c>
      <c r="D112" s="743" t="s">
        <v>2209</v>
      </c>
      <c r="E112" s="743" t="s">
        <v>2153</v>
      </c>
      <c r="F112" s="728">
        <v>0</v>
      </c>
      <c r="G112" s="729">
        <v>1500</v>
      </c>
      <c r="H112" s="729">
        <v>0</v>
      </c>
      <c r="I112" s="729">
        <v>0</v>
      </c>
      <c r="J112" s="729">
        <v>0</v>
      </c>
      <c r="K112" s="729">
        <v>0</v>
      </c>
      <c r="L112" s="729">
        <v>0</v>
      </c>
      <c r="M112" s="729">
        <f>311.63+188.37</f>
        <v>500</v>
      </c>
      <c r="N112" s="729">
        <v>0</v>
      </c>
      <c r="O112" s="729">
        <v>0</v>
      </c>
      <c r="P112" s="729">
        <v>1079.94</v>
      </c>
      <c r="Q112" s="729">
        <v>500</v>
      </c>
      <c r="R112" s="729">
        <v>0</v>
      </c>
      <c r="S112" s="730">
        <f t="shared" si="6"/>
        <v>3579.94</v>
      </c>
      <c r="T112" s="731">
        <f t="shared" ca="1" si="8"/>
        <v>-134</v>
      </c>
      <c r="U112" s="732">
        <v>44248</v>
      </c>
      <c r="V112" s="739" t="s">
        <v>2184</v>
      </c>
      <c r="W112" s="751"/>
      <c r="X112" s="735"/>
      <c r="Y112" s="735"/>
      <c r="Z112" s="735"/>
      <c r="AA112" s="735"/>
      <c r="AB112" s="735"/>
      <c r="AC112" s="740"/>
      <c r="AD112" s="736">
        <v>43334</v>
      </c>
      <c r="AE112" s="737">
        <f t="shared" ca="1" si="7"/>
        <v>-1144</v>
      </c>
      <c r="AF112" s="649" t="s">
        <v>2343</v>
      </c>
    </row>
    <row r="113" spans="1:32" s="745" customFormat="1" ht="89.25" x14ac:dyDescent="0.2">
      <c r="A113" s="742" t="s">
        <v>2150</v>
      </c>
      <c r="B113" s="649"/>
      <c r="C113" s="649" t="s">
        <v>2151</v>
      </c>
      <c r="D113" s="743" t="s">
        <v>2210</v>
      </c>
      <c r="E113" s="743" t="s">
        <v>2153</v>
      </c>
      <c r="F113" s="728">
        <v>0</v>
      </c>
      <c r="G113" s="729">
        <v>0</v>
      </c>
      <c r="H113" s="729">
        <v>0</v>
      </c>
      <c r="I113" s="729">
        <v>0</v>
      </c>
      <c r="J113" s="729">
        <v>0</v>
      </c>
      <c r="K113" s="729">
        <v>0</v>
      </c>
      <c r="L113" s="729">
        <v>0</v>
      </c>
      <c r="M113" s="729">
        <v>0</v>
      </c>
      <c r="N113" s="729">
        <v>0</v>
      </c>
      <c r="O113" s="729">
        <v>0</v>
      </c>
      <c r="P113" s="729">
        <v>0</v>
      </c>
      <c r="Q113" s="729">
        <v>0</v>
      </c>
      <c r="R113" s="729">
        <v>0</v>
      </c>
      <c r="S113" s="730">
        <f t="shared" si="6"/>
        <v>0</v>
      </c>
      <c r="T113" s="731">
        <f t="shared" ca="1" si="8"/>
        <v>-134</v>
      </c>
      <c r="U113" s="732">
        <v>44248</v>
      </c>
      <c r="V113" s="739" t="s">
        <v>2184</v>
      </c>
      <c r="W113" s="751"/>
      <c r="X113" s="735"/>
      <c r="Y113" s="735"/>
      <c r="Z113" s="735"/>
      <c r="AA113" s="735"/>
      <c r="AB113" s="735"/>
      <c r="AC113" s="740"/>
      <c r="AD113" s="736">
        <v>43334</v>
      </c>
      <c r="AE113" s="737">
        <f t="shared" ca="1" si="7"/>
        <v>-1144</v>
      </c>
      <c r="AF113" s="649" t="s">
        <v>2343</v>
      </c>
    </row>
    <row r="114" spans="1:32" s="745" customFormat="1" ht="89.25" x14ac:dyDescent="0.2">
      <c r="A114" s="742" t="s">
        <v>2150</v>
      </c>
      <c r="B114" s="649"/>
      <c r="C114" s="649" t="s">
        <v>2151</v>
      </c>
      <c r="D114" s="743" t="s">
        <v>2211</v>
      </c>
      <c r="E114" s="743" t="s">
        <v>2153</v>
      </c>
      <c r="F114" s="728">
        <v>0</v>
      </c>
      <c r="G114" s="729">
        <v>0</v>
      </c>
      <c r="H114" s="729">
        <v>0</v>
      </c>
      <c r="I114" s="729">
        <v>0</v>
      </c>
      <c r="J114" s="729">
        <v>0</v>
      </c>
      <c r="K114" s="729">
        <v>0</v>
      </c>
      <c r="L114" s="729">
        <v>0</v>
      </c>
      <c r="M114" s="729">
        <v>0</v>
      </c>
      <c r="N114" s="729">
        <v>0</v>
      </c>
      <c r="O114" s="729">
        <v>0</v>
      </c>
      <c r="P114" s="729">
        <v>0</v>
      </c>
      <c r="Q114" s="729">
        <v>0</v>
      </c>
      <c r="R114" s="729">
        <v>0</v>
      </c>
      <c r="S114" s="730">
        <f t="shared" si="6"/>
        <v>0</v>
      </c>
      <c r="T114" s="731">
        <f t="shared" ca="1" si="8"/>
        <v>-134</v>
      </c>
      <c r="U114" s="732">
        <v>44248</v>
      </c>
      <c r="V114" s="739" t="s">
        <v>2184</v>
      </c>
      <c r="W114" s="751"/>
      <c r="X114" s="735"/>
      <c r="Y114" s="735"/>
      <c r="Z114" s="735"/>
      <c r="AA114" s="735"/>
      <c r="AB114" s="735"/>
      <c r="AC114" s="740"/>
      <c r="AD114" s="736">
        <v>43334</v>
      </c>
      <c r="AE114" s="737">
        <f t="shared" ca="1" si="7"/>
        <v>-1144</v>
      </c>
      <c r="AF114" s="649" t="s">
        <v>2343</v>
      </c>
    </row>
    <row r="115" spans="1:32" s="745" customFormat="1" ht="89.25" x14ac:dyDescent="0.2">
      <c r="A115" s="742" t="s">
        <v>2150</v>
      </c>
      <c r="B115" s="649"/>
      <c r="C115" s="649" t="s">
        <v>2151</v>
      </c>
      <c r="D115" s="743" t="s">
        <v>2212</v>
      </c>
      <c r="E115" s="743" t="s">
        <v>2153</v>
      </c>
      <c r="F115" s="728">
        <v>0</v>
      </c>
      <c r="G115" s="729">
        <v>0</v>
      </c>
      <c r="H115" s="729">
        <v>0</v>
      </c>
      <c r="I115" s="729">
        <v>0</v>
      </c>
      <c r="J115" s="729"/>
      <c r="K115" s="729">
        <v>705.66</v>
      </c>
      <c r="L115" s="729">
        <v>0</v>
      </c>
      <c r="M115" s="729">
        <v>0</v>
      </c>
      <c r="N115" s="729">
        <v>0</v>
      </c>
      <c r="O115" s="729">
        <v>0</v>
      </c>
      <c r="P115" s="729">
        <v>0</v>
      </c>
      <c r="Q115" s="729">
        <v>0</v>
      </c>
      <c r="R115" s="729">
        <v>0</v>
      </c>
      <c r="S115" s="730">
        <f t="shared" si="6"/>
        <v>705.66</v>
      </c>
      <c r="T115" s="731">
        <f t="shared" ca="1" si="8"/>
        <v>-134</v>
      </c>
      <c r="U115" s="732">
        <v>44248</v>
      </c>
      <c r="V115" s="739" t="s">
        <v>2184</v>
      </c>
      <c r="W115" s="751"/>
      <c r="X115" s="735"/>
      <c r="Y115" s="735"/>
      <c r="Z115" s="735"/>
      <c r="AA115" s="735"/>
      <c r="AB115" s="735"/>
      <c r="AC115" s="740"/>
      <c r="AD115" s="736">
        <v>43334</v>
      </c>
      <c r="AE115" s="737">
        <f t="shared" ca="1" si="7"/>
        <v>-1144</v>
      </c>
      <c r="AF115" s="649" t="s">
        <v>2343</v>
      </c>
    </row>
    <row r="116" spans="1:32" s="745" customFormat="1" ht="89.25" x14ac:dyDescent="0.2">
      <c r="A116" s="742" t="s">
        <v>2150</v>
      </c>
      <c r="B116" s="649"/>
      <c r="C116" s="649" t="s">
        <v>2151</v>
      </c>
      <c r="D116" s="743" t="s">
        <v>2158</v>
      </c>
      <c r="E116" s="743" t="s">
        <v>2153</v>
      </c>
      <c r="F116" s="728">
        <v>0</v>
      </c>
      <c r="G116" s="729">
        <v>0</v>
      </c>
      <c r="H116" s="729">
        <v>0</v>
      </c>
      <c r="I116" s="729">
        <v>0</v>
      </c>
      <c r="J116" s="729">
        <v>0</v>
      </c>
      <c r="K116" s="729">
        <v>0</v>
      </c>
      <c r="L116" s="729">
        <v>0</v>
      </c>
      <c r="M116" s="729">
        <v>0</v>
      </c>
      <c r="N116" s="729">
        <v>0</v>
      </c>
      <c r="O116" s="729">
        <v>0</v>
      </c>
      <c r="P116" s="729">
        <v>0</v>
      </c>
      <c r="Q116" s="729">
        <v>0</v>
      </c>
      <c r="R116" s="729">
        <v>0</v>
      </c>
      <c r="S116" s="730">
        <f t="shared" si="6"/>
        <v>0</v>
      </c>
      <c r="T116" s="749">
        <f t="shared" ca="1" si="8"/>
        <v>-134</v>
      </c>
      <c r="U116" s="732">
        <v>44248</v>
      </c>
      <c r="V116" s="733" t="s">
        <v>2184</v>
      </c>
      <c r="W116" s="751"/>
      <c r="X116" s="735"/>
      <c r="Y116" s="735"/>
      <c r="Z116" s="735"/>
      <c r="AA116" s="735"/>
      <c r="AB116" s="735"/>
      <c r="AC116" s="740"/>
      <c r="AD116" s="736">
        <v>43334</v>
      </c>
      <c r="AE116" s="750">
        <f t="shared" ca="1" si="7"/>
        <v>-1144</v>
      </c>
      <c r="AF116" s="649" t="s">
        <v>2343</v>
      </c>
    </row>
    <row r="117" spans="1:32" s="745" customFormat="1" ht="89.25" x14ac:dyDescent="0.2">
      <c r="A117" s="742" t="s">
        <v>2150</v>
      </c>
      <c r="B117" s="649"/>
      <c r="C117" s="649" t="s">
        <v>2151</v>
      </c>
      <c r="D117" s="743" t="s">
        <v>2213</v>
      </c>
      <c r="E117" s="743" t="s">
        <v>2153</v>
      </c>
      <c r="F117" s="728">
        <v>0</v>
      </c>
      <c r="G117" s="729">
        <v>0</v>
      </c>
      <c r="H117" s="729">
        <v>0</v>
      </c>
      <c r="I117" s="729">
        <v>0</v>
      </c>
      <c r="J117" s="729">
        <v>0</v>
      </c>
      <c r="K117" s="729">
        <v>0</v>
      </c>
      <c r="L117" s="729">
        <v>0</v>
      </c>
      <c r="M117" s="729">
        <v>0</v>
      </c>
      <c r="N117" s="729">
        <v>0</v>
      </c>
      <c r="O117" s="729">
        <v>0</v>
      </c>
      <c r="P117" s="729">
        <v>0</v>
      </c>
      <c r="Q117" s="729">
        <v>0</v>
      </c>
      <c r="R117" s="729">
        <v>0</v>
      </c>
      <c r="S117" s="730">
        <f t="shared" si="6"/>
        <v>0</v>
      </c>
      <c r="T117" s="731">
        <f t="shared" ca="1" si="8"/>
        <v>-134</v>
      </c>
      <c r="U117" s="732">
        <v>44248</v>
      </c>
      <c r="V117" s="739" t="s">
        <v>2184</v>
      </c>
      <c r="W117" s="751"/>
      <c r="X117" s="735"/>
      <c r="Y117" s="735"/>
      <c r="Z117" s="735"/>
      <c r="AA117" s="735"/>
      <c r="AB117" s="735"/>
      <c r="AC117" s="740"/>
      <c r="AD117" s="736">
        <v>43334</v>
      </c>
      <c r="AE117" s="737">
        <f t="shared" ca="1" si="7"/>
        <v>-1144</v>
      </c>
      <c r="AF117" s="649" t="s">
        <v>2343</v>
      </c>
    </row>
    <row r="118" spans="1:32" s="745" customFormat="1" ht="89.25" x14ac:dyDescent="0.2">
      <c r="A118" s="742" t="s">
        <v>2150</v>
      </c>
      <c r="B118" s="649"/>
      <c r="C118" s="649" t="s">
        <v>2151</v>
      </c>
      <c r="D118" s="743" t="s">
        <v>2214</v>
      </c>
      <c r="E118" s="743" t="s">
        <v>2153</v>
      </c>
      <c r="F118" s="728">
        <v>0</v>
      </c>
      <c r="G118" s="729">
        <v>0</v>
      </c>
      <c r="H118" s="729">
        <v>0</v>
      </c>
      <c r="I118" s="729">
        <v>0</v>
      </c>
      <c r="J118" s="729">
        <v>0</v>
      </c>
      <c r="K118" s="729">
        <v>0</v>
      </c>
      <c r="L118" s="729">
        <v>0</v>
      </c>
      <c r="M118" s="729">
        <v>0</v>
      </c>
      <c r="N118" s="729">
        <v>0</v>
      </c>
      <c r="O118" s="729">
        <v>0</v>
      </c>
      <c r="P118" s="729">
        <v>0</v>
      </c>
      <c r="Q118" s="729">
        <v>0</v>
      </c>
      <c r="R118" s="729">
        <v>0</v>
      </c>
      <c r="S118" s="730">
        <f t="shared" si="6"/>
        <v>0</v>
      </c>
      <c r="T118" s="731">
        <f t="shared" ca="1" si="8"/>
        <v>-134</v>
      </c>
      <c r="U118" s="732">
        <v>44248</v>
      </c>
      <c r="V118" s="739" t="s">
        <v>2184</v>
      </c>
      <c r="W118" s="751"/>
      <c r="X118" s="735"/>
      <c r="Y118" s="735"/>
      <c r="Z118" s="735"/>
      <c r="AA118" s="735"/>
      <c r="AB118" s="735"/>
      <c r="AC118" s="740"/>
      <c r="AD118" s="736">
        <v>43334</v>
      </c>
      <c r="AE118" s="737">
        <f t="shared" ca="1" si="7"/>
        <v>-1144</v>
      </c>
      <c r="AF118" s="649" t="s">
        <v>2343</v>
      </c>
    </row>
    <row r="119" spans="1:32" s="745" customFormat="1" ht="89.25" x14ac:dyDescent="0.2">
      <c r="A119" s="742" t="s">
        <v>2150</v>
      </c>
      <c r="B119" s="649"/>
      <c r="C119" s="649" t="s">
        <v>2151</v>
      </c>
      <c r="D119" s="743" t="s">
        <v>2215</v>
      </c>
      <c r="E119" s="743" t="s">
        <v>2153</v>
      </c>
      <c r="F119" s="728">
        <v>0</v>
      </c>
      <c r="G119" s="729">
        <v>0</v>
      </c>
      <c r="H119" s="729">
        <v>0</v>
      </c>
      <c r="I119" s="729">
        <v>0</v>
      </c>
      <c r="J119" s="729">
        <v>0</v>
      </c>
      <c r="K119" s="729">
        <v>0</v>
      </c>
      <c r="L119" s="729">
        <v>0</v>
      </c>
      <c r="M119" s="729">
        <v>0</v>
      </c>
      <c r="N119" s="729">
        <v>0</v>
      </c>
      <c r="O119" s="729">
        <v>0</v>
      </c>
      <c r="P119" s="729">
        <v>0</v>
      </c>
      <c r="Q119" s="729">
        <v>0</v>
      </c>
      <c r="R119" s="729">
        <v>0</v>
      </c>
      <c r="S119" s="730">
        <f t="shared" si="6"/>
        <v>0</v>
      </c>
      <c r="T119" s="731">
        <f t="shared" ca="1" si="8"/>
        <v>-134</v>
      </c>
      <c r="U119" s="732">
        <v>44248</v>
      </c>
      <c r="V119" s="739" t="s">
        <v>2184</v>
      </c>
      <c r="W119" s="751"/>
      <c r="X119" s="735"/>
      <c r="Y119" s="735"/>
      <c r="Z119" s="735"/>
      <c r="AA119" s="735"/>
      <c r="AB119" s="735"/>
      <c r="AC119" s="740"/>
      <c r="AD119" s="736">
        <v>43334</v>
      </c>
      <c r="AE119" s="737">
        <f t="shared" ca="1" si="7"/>
        <v>-1144</v>
      </c>
      <c r="AF119" s="649" t="s">
        <v>2343</v>
      </c>
    </row>
    <row r="120" spans="1:32" s="745" customFormat="1" ht="89.25" x14ac:dyDescent="0.2">
      <c r="A120" s="742" t="s">
        <v>2150</v>
      </c>
      <c r="B120" s="649"/>
      <c r="C120" s="649" t="s">
        <v>2151</v>
      </c>
      <c r="D120" s="743" t="s">
        <v>2216</v>
      </c>
      <c r="E120" s="743" t="s">
        <v>2153</v>
      </c>
      <c r="F120" s="728">
        <v>0</v>
      </c>
      <c r="G120" s="729">
        <v>0</v>
      </c>
      <c r="H120" s="729">
        <v>0</v>
      </c>
      <c r="I120" s="729">
        <v>0</v>
      </c>
      <c r="J120" s="729">
        <v>0</v>
      </c>
      <c r="K120" s="729">
        <v>0</v>
      </c>
      <c r="L120" s="729">
        <v>0</v>
      </c>
      <c r="M120" s="729">
        <v>0</v>
      </c>
      <c r="N120" s="729">
        <v>0</v>
      </c>
      <c r="O120" s="729">
        <v>0</v>
      </c>
      <c r="P120" s="729">
        <v>0</v>
      </c>
      <c r="Q120" s="729">
        <v>0</v>
      </c>
      <c r="R120" s="729">
        <v>154.26</v>
      </c>
      <c r="S120" s="730">
        <f t="shared" si="6"/>
        <v>154.26</v>
      </c>
      <c r="T120" s="749">
        <f t="shared" ca="1" si="8"/>
        <v>-134</v>
      </c>
      <c r="U120" s="732">
        <v>44248</v>
      </c>
      <c r="V120" s="733" t="s">
        <v>2184</v>
      </c>
      <c r="W120" s="751"/>
      <c r="X120" s="735"/>
      <c r="Y120" s="735"/>
      <c r="Z120" s="735"/>
      <c r="AA120" s="735"/>
      <c r="AB120" s="735"/>
      <c r="AC120" s="740"/>
      <c r="AD120" s="736">
        <v>43334</v>
      </c>
      <c r="AE120" s="750">
        <f t="shared" ca="1" si="7"/>
        <v>-1144</v>
      </c>
      <c r="AF120" s="649" t="s">
        <v>2343</v>
      </c>
    </row>
    <row r="121" spans="1:32" s="745" customFormat="1" ht="89.25" x14ac:dyDescent="0.2">
      <c r="A121" s="742" t="s">
        <v>2150</v>
      </c>
      <c r="B121" s="649"/>
      <c r="C121" s="649" t="s">
        <v>2151</v>
      </c>
      <c r="D121" s="743" t="s">
        <v>2217</v>
      </c>
      <c r="E121" s="743" t="s">
        <v>2153</v>
      </c>
      <c r="F121" s="728">
        <v>0</v>
      </c>
      <c r="G121" s="729">
        <v>0</v>
      </c>
      <c r="H121" s="729">
        <v>0</v>
      </c>
      <c r="I121" s="729">
        <v>0</v>
      </c>
      <c r="J121" s="729">
        <v>0</v>
      </c>
      <c r="K121" s="729">
        <v>0</v>
      </c>
      <c r="L121" s="729">
        <v>0</v>
      </c>
      <c r="M121" s="729">
        <v>0</v>
      </c>
      <c r="N121" s="729">
        <v>0</v>
      </c>
      <c r="O121" s="729">
        <v>0</v>
      </c>
      <c r="P121" s="729">
        <v>0</v>
      </c>
      <c r="Q121" s="729">
        <v>0</v>
      </c>
      <c r="R121" s="729">
        <v>0</v>
      </c>
      <c r="S121" s="730">
        <f t="shared" si="6"/>
        <v>0</v>
      </c>
      <c r="T121" s="731">
        <f t="shared" ca="1" si="8"/>
        <v>-134</v>
      </c>
      <c r="U121" s="732">
        <v>44248</v>
      </c>
      <c r="V121" s="739" t="s">
        <v>2184</v>
      </c>
      <c r="W121" s="751"/>
      <c r="X121" s="735"/>
      <c r="Y121" s="735"/>
      <c r="Z121" s="735"/>
      <c r="AA121" s="735"/>
      <c r="AB121" s="735"/>
      <c r="AC121" s="740"/>
      <c r="AD121" s="736">
        <v>43334</v>
      </c>
      <c r="AE121" s="737">
        <f t="shared" ca="1" si="7"/>
        <v>-1144</v>
      </c>
      <c r="AF121" s="649" t="s">
        <v>2343</v>
      </c>
    </row>
    <row r="122" spans="1:32" s="745" customFormat="1" ht="89.25" x14ac:dyDescent="0.2">
      <c r="A122" s="742" t="s">
        <v>2150</v>
      </c>
      <c r="B122" s="649"/>
      <c r="C122" s="649" t="s">
        <v>2151</v>
      </c>
      <c r="D122" s="743" t="s">
        <v>2218</v>
      </c>
      <c r="E122" s="743" t="s">
        <v>2153</v>
      </c>
      <c r="F122" s="728">
        <v>0</v>
      </c>
      <c r="G122" s="729">
        <v>0</v>
      </c>
      <c r="H122" s="729">
        <v>0</v>
      </c>
      <c r="I122" s="729">
        <v>0</v>
      </c>
      <c r="J122" s="729">
        <v>0</v>
      </c>
      <c r="K122" s="729">
        <v>0</v>
      </c>
      <c r="L122" s="729">
        <v>0</v>
      </c>
      <c r="M122" s="729">
        <v>0</v>
      </c>
      <c r="N122" s="729">
        <v>0</v>
      </c>
      <c r="O122" s="729">
        <v>0</v>
      </c>
      <c r="P122" s="729">
        <v>0</v>
      </c>
      <c r="Q122" s="729">
        <v>0</v>
      </c>
      <c r="R122" s="729">
        <v>0</v>
      </c>
      <c r="S122" s="730">
        <f t="shared" si="6"/>
        <v>0</v>
      </c>
      <c r="T122" s="731">
        <f t="shared" ca="1" si="8"/>
        <v>-134</v>
      </c>
      <c r="U122" s="732">
        <v>44248</v>
      </c>
      <c r="V122" s="739" t="s">
        <v>2184</v>
      </c>
      <c r="W122" s="751"/>
      <c r="X122" s="735"/>
      <c r="Y122" s="735"/>
      <c r="Z122" s="735"/>
      <c r="AA122" s="735"/>
      <c r="AB122" s="735"/>
      <c r="AC122" s="740"/>
      <c r="AD122" s="736">
        <v>43334</v>
      </c>
      <c r="AE122" s="737">
        <f t="shared" ca="1" si="7"/>
        <v>-1144</v>
      </c>
      <c r="AF122" s="649" t="s">
        <v>2343</v>
      </c>
    </row>
    <row r="123" spans="1:32" s="745" customFormat="1" ht="89.25" x14ac:dyDescent="0.2">
      <c r="A123" s="742" t="s">
        <v>2150</v>
      </c>
      <c r="B123" s="649"/>
      <c r="C123" s="649" t="s">
        <v>2151</v>
      </c>
      <c r="D123" s="743" t="s">
        <v>2219</v>
      </c>
      <c r="E123" s="743" t="s">
        <v>2153</v>
      </c>
      <c r="F123" s="728">
        <v>0</v>
      </c>
      <c r="G123" s="729">
        <v>0</v>
      </c>
      <c r="H123" s="729">
        <v>0</v>
      </c>
      <c r="I123" s="729">
        <v>0</v>
      </c>
      <c r="J123" s="729">
        <v>0</v>
      </c>
      <c r="K123" s="729">
        <v>0</v>
      </c>
      <c r="L123" s="729">
        <v>0</v>
      </c>
      <c r="M123" s="729">
        <v>0</v>
      </c>
      <c r="N123" s="729">
        <v>0</v>
      </c>
      <c r="O123" s="729">
        <v>0</v>
      </c>
      <c r="P123" s="729">
        <v>0</v>
      </c>
      <c r="Q123" s="729">
        <v>0</v>
      </c>
      <c r="R123" s="729">
        <v>0</v>
      </c>
      <c r="S123" s="730">
        <f t="shared" si="6"/>
        <v>0</v>
      </c>
      <c r="T123" s="731">
        <f t="shared" ca="1" si="8"/>
        <v>-134</v>
      </c>
      <c r="U123" s="732">
        <v>44248</v>
      </c>
      <c r="V123" s="739" t="s">
        <v>2184</v>
      </c>
      <c r="W123" s="751"/>
      <c r="X123" s="735"/>
      <c r="Y123" s="735"/>
      <c r="Z123" s="735"/>
      <c r="AA123" s="735"/>
      <c r="AB123" s="735"/>
      <c r="AC123" s="740"/>
      <c r="AD123" s="736">
        <v>43334</v>
      </c>
      <c r="AE123" s="737">
        <f t="shared" ca="1" si="7"/>
        <v>-1144</v>
      </c>
      <c r="AF123" s="649" t="s">
        <v>2343</v>
      </c>
    </row>
    <row r="124" spans="1:32" s="745" customFormat="1" ht="89.25" x14ac:dyDescent="0.2">
      <c r="A124" s="742" t="s">
        <v>2150</v>
      </c>
      <c r="B124" s="649"/>
      <c r="C124" s="649" t="s">
        <v>2151</v>
      </c>
      <c r="D124" s="743" t="s">
        <v>2221</v>
      </c>
      <c r="E124" s="743" t="s">
        <v>2153</v>
      </c>
      <c r="F124" s="728">
        <v>0</v>
      </c>
      <c r="G124" s="729">
        <v>0</v>
      </c>
      <c r="H124" s="729">
        <v>0</v>
      </c>
      <c r="I124" s="729">
        <v>0</v>
      </c>
      <c r="J124" s="729">
        <v>0</v>
      </c>
      <c r="K124" s="729">
        <v>0</v>
      </c>
      <c r="L124" s="729">
        <v>0</v>
      </c>
      <c r="M124" s="729">
        <v>0</v>
      </c>
      <c r="N124" s="729">
        <v>0</v>
      </c>
      <c r="O124" s="729">
        <v>0</v>
      </c>
      <c r="P124" s="729">
        <v>0</v>
      </c>
      <c r="Q124" s="729">
        <v>0</v>
      </c>
      <c r="R124" s="729">
        <v>0</v>
      </c>
      <c r="S124" s="730">
        <f t="shared" si="6"/>
        <v>0</v>
      </c>
      <c r="T124" s="731">
        <f t="shared" ca="1" si="8"/>
        <v>-117</v>
      </c>
      <c r="U124" s="732">
        <v>44265</v>
      </c>
      <c r="V124" s="739" t="s">
        <v>2222</v>
      </c>
      <c r="W124" s="751"/>
      <c r="X124" s="735"/>
      <c r="Y124" s="735"/>
      <c r="Z124" s="735"/>
      <c r="AA124" s="735"/>
      <c r="AB124" s="735"/>
      <c r="AC124" s="740"/>
      <c r="AD124" s="736">
        <v>43354</v>
      </c>
      <c r="AE124" s="737">
        <f t="shared" ca="1" si="7"/>
        <v>-1164</v>
      </c>
      <c r="AF124" s="649" t="s">
        <v>2343</v>
      </c>
    </row>
    <row r="125" spans="1:32" s="745" customFormat="1" ht="89.25" x14ac:dyDescent="0.2">
      <c r="A125" s="742" t="s">
        <v>2150</v>
      </c>
      <c r="B125" s="649"/>
      <c r="C125" s="649" t="s">
        <v>2151</v>
      </c>
      <c r="D125" s="743" t="s">
        <v>2223</v>
      </c>
      <c r="E125" s="743" t="s">
        <v>2153</v>
      </c>
      <c r="F125" s="728">
        <v>0</v>
      </c>
      <c r="G125" s="729">
        <v>0</v>
      </c>
      <c r="H125" s="729">
        <v>0</v>
      </c>
      <c r="I125" s="729">
        <v>0</v>
      </c>
      <c r="J125" s="729">
        <v>0</v>
      </c>
      <c r="K125" s="729">
        <v>0</v>
      </c>
      <c r="L125" s="729">
        <v>0</v>
      </c>
      <c r="M125" s="729">
        <v>0</v>
      </c>
      <c r="N125" s="729">
        <v>0</v>
      </c>
      <c r="O125" s="729">
        <v>0</v>
      </c>
      <c r="P125" s="729">
        <v>0</v>
      </c>
      <c r="Q125" s="729">
        <v>0</v>
      </c>
      <c r="R125" s="729">
        <v>0</v>
      </c>
      <c r="S125" s="730">
        <f t="shared" si="6"/>
        <v>0</v>
      </c>
      <c r="T125" s="731">
        <f t="shared" ca="1" si="8"/>
        <v>-103</v>
      </c>
      <c r="U125" s="732">
        <v>44279</v>
      </c>
      <c r="V125" s="739" t="s">
        <v>2224</v>
      </c>
      <c r="W125" s="751"/>
      <c r="X125" s="735"/>
      <c r="Y125" s="735"/>
      <c r="Z125" s="735"/>
      <c r="AA125" s="735"/>
      <c r="AB125" s="735"/>
      <c r="AC125" s="740"/>
      <c r="AD125" s="736">
        <v>43368</v>
      </c>
      <c r="AE125" s="737">
        <f t="shared" ca="1" si="7"/>
        <v>-1178</v>
      </c>
      <c r="AF125" s="649" t="s">
        <v>2343</v>
      </c>
    </row>
    <row r="126" spans="1:32" s="745" customFormat="1" ht="25.5" x14ac:dyDescent="0.2">
      <c r="A126" s="742" t="s">
        <v>1756</v>
      </c>
      <c r="B126" s="649"/>
      <c r="C126" s="649"/>
      <c r="D126" s="743" t="s">
        <v>2225</v>
      </c>
      <c r="E126" s="743" t="s">
        <v>1798</v>
      </c>
      <c r="F126" s="728" t="s">
        <v>314</v>
      </c>
      <c r="G126" s="729">
        <v>0</v>
      </c>
      <c r="H126" s="729">
        <v>0</v>
      </c>
      <c r="I126" s="729">
        <v>0</v>
      </c>
      <c r="J126" s="729">
        <v>0</v>
      </c>
      <c r="K126" s="729">
        <v>0</v>
      </c>
      <c r="L126" s="729">
        <v>0</v>
      </c>
      <c r="M126" s="729">
        <v>0</v>
      </c>
      <c r="N126" s="729">
        <v>0</v>
      </c>
      <c r="O126" s="729">
        <v>0</v>
      </c>
      <c r="P126" s="729">
        <v>0</v>
      </c>
      <c r="Q126" s="729">
        <v>0</v>
      </c>
      <c r="R126" s="729">
        <v>0</v>
      </c>
      <c r="S126" s="730">
        <f t="shared" si="6"/>
        <v>0</v>
      </c>
      <c r="T126" s="749">
        <f t="shared" ca="1" si="8"/>
        <v>-637</v>
      </c>
      <c r="U126" s="732">
        <v>43745</v>
      </c>
      <c r="V126" s="733" t="s">
        <v>2226</v>
      </c>
      <c r="W126" s="751"/>
      <c r="X126" s="735"/>
      <c r="Y126" s="735"/>
      <c r="Z126" s="735"/>
      <c r="AA126" s="735"/>
      <c r="AB126" s="735"/>
      <c r="AC126" s="740"/>
      <c r="AD126" s="736">
        <v>43381</v>
      </c>
      <c r="AE126" s="750">
        <f t="shared" ca="1" si="7"/>
        <v>-1191</v>
      </c>
      <c r="AF126" s="649" t="s">
        <v>2343</v>
      </c>
    </row>
    <row r="127" spans="1:32" s="745" customFormat="1" ht="89.25" x14ac:dyDescent="0.2">
      <c r="A127" s="742" t="s">
        <v>2150</v>
      </c>
      <c r="B127" s="649"/>
      <c r="C127" s="649" t="s">
        <v>2151</v>
      </c>
      <c r="D127" s="743" t="s">
        <v>2230</v>
      </c>
      <c r="E127" s="743" t="s">
        <v>2153</v>
      </c>
      <c r="F127" s="728">
        <v>0</v>
      </c>
      <c r="G127" s="729">
        <v>0</v>
      </c>
      <c r="H127" s="729">
        <v>0</v>
      </c>
      <c r="I127" s="729">
        <v>0</v>
      </c>
      <c r="J127" s="729">
        <v>0</v>
      </c>
      <c r="K127" s="729">
        <v>0</v>
      </c>
      <c r="L127" s="729">
        <v>0</v>
      </c>
      <c r="M127" s="729">
        <v>0</v>
      </c>
      <c r="N127" s="729">
        <v>0</v>
      </c>
      <c r="O127" s="729">
        <v>0</v>
      </c>
      <c r="P127" s="729">
        <v>0</v>
      </c>
      <c r="Q127" s="729">
        <v>0</v>
      </c>
      <c r="R127" s="729">
        <v>0</v>
      </c>
      <c r="S127" s="730">
        <f t="shared" si="6"/>
        <v>0</v>
      </c>
      <c r="T127" s="749">
        <f t="shared" ca="1" si="8"/>
        <v>-103</v>
      </c>
      <c r="U127" s="732">
        <v>44279</v>
      </c>
      <c r="V127" s="733" t="s">
        <v>2224</v>
      </c>
      <c r="W127" s="751"/>
      <c r="X127" s="735"/>
      <c r="Y127" s="735"/>
      <c r="Z127" s="735"/>
      <c r="AA127" s="735"/>
      <c r="AB127" s="735"/>
      <c r="AC127" s="740"/>
      <c r="AD127" s="736">
        <v>43368</v>
      </c>
      <c r="AE127" s="750">
        <f t="shared" ca="1" si="7"/>
        <v>-1178</v>
      </c>
      <c r="AF127" s="649" t="s">
        <v>2343</v>
      </c>
    </row>
    <row r="128" spans="1:32" s="745" customFormat="1" ht="89.25" x14ac:dyDescent="0.2">
      <c r="A128" s="742" t="s">
        <v>2150</v>
      </c>
      <c r="B128" s="649"/>
      <c r="C128" s="649" t="s">
        <v>2151</v>
      </c>
      <c r="D128" s="743" t="s">
        <v>2233</v>
      </c>
      <c r="E128" s="743" t="s">
        <v>2153</v>
      </c>
      <c r="F128" s="728">
        <v>0</v>
      </c>
      <c r="G128" s="729">
        <v>0</v>
      </c>
      <c r="H128" s="729">
        <v>0</v>
      </c>
      <c r="I128" s="729">
        <v>0</v>
      </c>
      <c r="J128" s="729">
        <v>0</v>
      </c>
      <c r="K128" s="729">
        <v>0</v>
      </c>
      <c r="L128" s="729">
        <v>0</v>
      </c>
      <c r="M128" s="729">
        <v>0</v>
      </c>
      <c r="N128" s="729">
        <v>0</v>
      </c>
      <c r="O128" s="729">
        <v>0</v>
      </c>
      <c r="P128" s="729">
        <v>0</v>
      </c>
      <c r="Q128" s="729">
        <v>0</v>
      </c>
      <c r="R128" s="729">
        <v>0</v>
      </c>
      <c r="S128" s="730">
        <f t="shared" si="6"/>
        <v>0</v>
      </c>
      <c r="T128" s="731">
        <f t="shared" ca="1" si="8"/>
        <v>-103</v>
      </c>
      <c r="U128" s="732">
        <v>44279</v>
      </c>
      <c r="V128" s="739" t="s">
        <v>2224</v>
      </c>
      <c r="W128" s="751"/>
      <c r="X128" s="735"/>
      <c r="Y128" s="735"/>
      <c r="Z128" s="735"/>
      <c r="AA128" s="735"/>
      <c r="AB128" s="735"/>
      <c r="AC128" s="740"/>
      <c r="AD128" s="736">
        <v>43368</v>
      </c>
      <c r="AE128" s="737">
        <f t="shared" ca="1" si="7"/>
        <v>-1178</v>
      </c>
      <c r="AF128" s="649" t="s">
        <v>2343</v>
      </c>
    </row>
    <row r="129" spans="1:32" s="745" customFormat="1" ht="89.25" x14ac:dyDescent="0.2">
      <c r="A129" s="742" t="s">
        <v>2150</v>
      </c>
      <c r="B129" s="649"/>
      <c r="C129" s="649" t="s">
        <v>2151</v>
      </c>
      <c r="D129" s="743" t="s">
        <v>2234</v>
      </c>
      <c r="E129" s="743" t="s">
        <v>2153</v>
      </c>
      <c r="F129" s="728">
        <v>0</v>
      </c>
      <c r="G129" s="729">
        <v>0</v>
      </c>
      <c r="H129" s="729">
        <v>0</v>
      </c>
      <c r="I129" s="729">
        <v>0</v>
      </c>
      <c r="J129" s="729">
        <v>0</v>
      </c>
      <c r="K129" s="729">
        <v>0</v>
      </c>
      <c r="L129" s="729">
        <v>0</v>
      </c>
      <c r="M129" s="729">
        <v>0</v>
      </c>
      <c r="N129" s="729">
        <v>0</v>
      </c>
      <c r="O129" s="729">
        <v>0</v>
      </c>
      <c r="P129" s="729">
        <v>0</v>
      </c>
      <c r="Q129" s="729">
        <v>0</v>
      </c>
      <c r="R129" s="729">
        <v>0</v>
      </c>
      <c r="S129" s="730">
        <f t="shared" si="6"/>
        <v>0</v>
      </c>
      <c r="T129" s="731">
        <f t="shared" ca="1" si="8"/>
        <v>-103</v>
      </c>
      <c r="U129" s="732">
        <v>44279</v>
      </c>
      <c r="V129" s="739" t="s">
        <v>2224</v>
      </c>
      <c r="W129" s="751"/>
      <c r="X129" s="735"/>
      <c r="Y129" s="735"/>
      <c r="Z129" s="735"/>
      <c r="AA129" s="735"/>
      <c r="AB129" s="735"/>
      <c r="AC129" s="740"/>
      <c r="AD129" s="736">
        <v>43368</v>
      </c>
      <c r="AE129" s="737">
        <f t="shared" ca="1" si="7"/>
        <v>-1178</v>
      </c>
      <c r="AF129" s="649" t="s">
        <v>2343</v>
      </c>
    </row>
    <row r="130" spans="1:32" s="745" customFormat="1" ht="38.25" x14ac:dyDescent="0.2">
      <c r="A130" s="742" t="s">
        <v>2236</v>
      </c>
      <c r="B130" s="649"/>
      <c r="C130" s="649"/>
      <c r="D130" s="743" t="s">
        <v>2237</v>
      </c>
      <c r="E130" s="743" t="s">
        <v>2238</v>
      </c>
      <c r="F130" s="728">
        <v>13344.75</v>
      </c>
      <c r="G130" s="729">
        <v>600</v>
      </c>
      <c r="H130" s="729">
        <v>510</v>
      </c>
      <c r="I130" s="729">
        <v>478</v>
      </c>
      <c r="J130" s="729">
        <v>724</v>
      </c>
      <c r="K130" s="729">
        <v>622</v>
      </c>
      <c r="L130" s="729">
        <v>854</v>
      </c>
      <c r="M130" s="729">
        <v>628</v>
      </c>
      <c r="N130" s="729">
        <v>680</v>
      </c>
      <c r="O130" s="729">
        <v>725.38</v>
      </c>
      <c r="P130" s="729">
        <v>748.46</v>
      </c>
      <c r="Q130" s="729">
        <v>870</v>
      </c>
      <c r="R130" s="729">
        <v>631.08000000000004</v>
      </c>
      <c r="S130" s="730">
        <f t="shared" si="6"/>
        <v>8070.92</v>
      </c>
      <c r="T130" s="731">
        <f t="shared" ca="1" si="8"/>
        <v>-362</v>
      </c>
      <c r="U130" s="732">
        <v>44020</v>
      </c>
      <c r="V130" s="733" t="s">
        <v>2544</v>
      </c>
      <c r="W130" s="751"/>
      <c r="X130" s="735"/>
      <c r="Y130" s="735"/>
      <c r="Z130" s="735"/>
      <c r="AA130" s="735"/>
      <c r="AB130" s="735"/>
      <c r="AC130" s="740"/>
      <c r="AD130" s="736">
        <v>43290</v>
      </c>
      <c r="AE130" s="737">
        <f t="shared" ca="1" si="7"/>
        <v>-1100</v>
      </c>
      <c r="AF130" s="649" t="s">
        <v>2307</v>
      </c>
    </row>
    <row r="131" spans="1:32" s="745" customFormat="1" ht="38.25" x14ac:dyDescent="0.2">
      <c r="A131" s="742" t="s">
        <v>2240</v>
      </c>
      <c r="B131" s="649"/>
      <c r="C131" s="649"/>
      <c r="D131" s="743" t="s">
        <v>2241</v>
      </c>
      <c r="E131" s="743" t="s">
        <v>2242</v>
      </c>
      <c r="F131" s="728">
        <v>0</v>
      </c>
      <c r="G131" s="729">
        <v>0</v>
      </c>
      <c r="H131" s="729">
        <v>0</v>
      </c>
      <c r="I131" s="729">
        <v>0</v>
      </c>
      <c r="J131" s="729">
        <v>0</v>
      </c>
      <c r="K131" s="729">
        <v>0</v>
      </c>
      <c r="L131" s="729">
        <v>0</v>
      </c>
      <c r="M131" s="729">
        <v>0</v>
      </c>
      <c r="N131" s="729">
        <v>0</v>
      </c>
      <c r="O131" s="729">
        <v>0</v>
      </c>
      <c r="P131" s="729">
        <v>0</v>
      </c>
      <c r="Q131" s="729">
        <v>0</v>
      </c>
      <c r="R131" s="729">
        <v>0</v>
      </c>
      <c r="S131" s="730">
        <f t="shared" si="6"/>
        <v>0</v>
      </c>
      <c r="T131" s="731">
        <f t="shared" ca="1" si="8"/>
        <v>-457</v>
      </c>
      <c r="U131" s="732">
        <v>43925</v>
      </c>
      <c r="V131" s="733" t="s">
        <v>2552</v>
      </c>
      <c r="W131" s="751"/>
      <c r="X131" s="735"/>
      <c r="Y131" s="735"/>
      <c r="Z131" s="735"/>
      <c r="AA131" s="735"/>
      <c r="AB131" s="735"/>
      <c r="AC131" s="740"/>
      <c r="AD131" s="736">
        <v>43195</v>
      </c>
      <c r="AE131" s="737">
        <f t="shared" ca="1" si="7"/>
        <v>-1005</v>
      </c>
      <c r="AF131" s="649" t="s">
        <v>2384</v>
      </c>
    </row>
    <row r="132" spans="1:32" s="745" customFormat="1" ht="38.25" x14ac:dyDescent="0.2">
      <c r="A132" s="742" t="s">
        <v>2240</v>
      </c>
      <c r="B132" s="649"/>
      <c r="C132" s="649"/>
      <c r="D132" s="743" t="s">
        <v>2244</v>
      </c>
      <c r="E132" s="743" t="s">
        <v>2242</v>
      </c>
      <c r="F132" s="728">
        <v>0</v>
      </c>
      <c r="G132" s="729">
        <v>300</v>
      </c>
      <c r="H132" s="729">
        <v>0</v>
      </c>
      <c r="I132" s="729">
        <v>0</v>
      </c>
      <c r="J132" s="729">
        <v>0</v>
      </c>
      <c r="K132" s="729">
        <v>0</v>
      </c>
      <c r="L132" s="729">
        <v>0</v>
      </c>
      <c r="M132" s="729">
        <v>0</v>
      </c>
      <c r="N132" s="729">
        <v>0</v>
      </c>
      <c r="O132" s="729">
        <v>0</v>
      </c>
      <c r="P132" s="729">
        <v>0</v>
      </c>
      <c r="Q132" s="729">
        <v>0</v>
      </c>
      <c r="R132" s="729">
        <v>0</v>
      </c>
      <c r="S132" s="730">
        <f t="shared" si="6"/>
        <v>300</v>
      </c>
      <c r="T132" s="731">
        <f t="shared" ca="1" si="8"/>
        <v>-823</v>
      </c>
      <c r="U132" s="732">
        <v>43559</v>
      </c>
      <c r="V132" s="739" t="s">
        <v>2243</v>
      </c>
      <c r="W132" s="751"/>
      <c r="X132" s="735"/>
      <c r="Y132" s="735"/>
      <c r="Z132" s="735"/>
      <c r="AA132" s="735"/>
      <c r="AB132" s="735"/>
      <c r="AC132" s="740">
        <v>43514</v>
      </c>
      <c r="AD132" s="736">
        <v>43195</v>
      </c>
      <c r="AE132" s="737">
        <f t="shared" ca="1" si="7"/>
        <v>-1005</v>
      </c>
      <c r="AF132" s="649" t="s">
        <v>2384</v>
      </c>
    </row>
    <row r="133" spans="1:32" s="745" customFormat="1" ht="38.25" x14ac:dyDescent="0.2">
      <c r="A133" s="742" t="s">
        <v>2240</v>
      </c>
      <c r="B133" s="649"/>
      <c r="C133" s="649"/>
      <c r="D133" s="743" t="s">
        <v>2245</v>
      </c>
      <c r="E133" s="743" t="s">
        <v>2242</v>
      </c>
      <c r="F133" s="728">
        <v>0</v>
      </c>
      <c r="G133" s="729">
        <v>0</v>
      </c>
      <c r="H133" s="729">
        <f>2827.81</f>
        <v>2827.81</v>
      </c>
      <c r="I133" s="729">
        <v>0</v>
      </c>
      <c r="J133" s="729">
        <v>8069.79</v>
      </c>
      <c r="K133" s="729">
        <f>8.89+4812.42</f>
        <v>4821.3100000000004</v>
      </c>
      <c r="L133" s="729">
        <v>4164.3599999999997</v>
      </c>
      <c r="M133" s="729">
        <v>0</v>
      </c>
      <c r="N133" s="729">
        <v>1100.44</v>
      </c>
      <c r="O133" s="729">
        <f>10000+3362.56</f>
        <v>13362.56</v>
      </c>
      <c r="P133" s="729">
        <v>300</v>
      </c>
      <c r="Q133" s="729">
        <f>743.84+5041.68+2000+2000</f>
        <v>9785.52</v>
      </c>
      <c r="R133" s="729">
        <f>1000.5+17748.91</f>
        <v>18749.41</v>
      </c>
      <c r="S133" s="730">
        <f t="shared" si="6"/>
        <v>63181.2</v>
      </c>
      <c r="T133" s="731">
        <f t="shared" ca="1" si="8"/>
        <v>-457</v>
      </c>
      <c r="U133" s="732">
        <v>43925</v>
      </c>
      <c r="V133" s="733" t="s">
        <v>2552</v>
      </c>
      <c r="W133" s="751"/>
      <c r="X133" s="735"/>
      <c r="Y133" s="735"/>
      <c r="Z133" s="735"/>
      <c r="AA133" s="735"/>
      <c r="AB133" s="735"/>
      <c r="AC133" s="740"/>
      <c r="AD133" s="736">
        <v>43195</v>
      </c>
      <c r="AE133" s="737">
        <f t="shared" ca="1" si="7"/>
        <v>-1005</v>
      </c>
      <c r="AF133" s="649" t="s">
        <v>2384</v>
      </c>
    </row>
    <row r="134" spans="1:32" s="745" customFormat="1" ht="38.25" x14ac:dyDescent="0.2">
      <c r="A134" s="742" t="s">
        <v>2240</v>
      </c>
      <c r="B134" s="649"/>
      <c r="C134" s="649"/>
      <c r="D134" s="743" t="s">
        <v>2246</v>
      </c>
      <c r="E134" s="743" t="s">
        <v>2242</v>
      </c>
      <c r="F134" s="728">
        <v>0</v>
      </c>
      <c r="G134" s="729">
        <v>0</v>
      </c>
      <c r="H134" s="729">
        <v>0</v>
      </c>
      <c r="I134" s="729">
        <v>0</v>
      </c>
      <c r="J134" s="729">
        <v>0</v>
      </c>
      <c r="K134" s="729">
        <v>0</v>
      </c>
      <c r="L134" s="729">
        <v>0</v>
      </c>
      <c r="M134" s="729">
        <v>0</v>
      </c>
      <c r="N134" s="729">
        <v>0</v>
      </c>
      <c r="O134" s="729">
        <v>0</v>
      </c>
      <c r="P134" s="729">
        <v>0</v>
      </c>
      <c r="Q134" s="729">
        <v>0</v>
      </c>
      <c r="R134" s="729">
        <v>0</v>
      </c>
      <c r="S134" s="730">
        <f t="shared" si="6"/>
        <v>0</v>
      </c>
      <c r="T134" s="731">
        <f t="shared" ca="1" si="8"/>
        <v>-457</v>
      </c>
      <c r="U134" s="732">
        <v>43925</v>
      </c>
      <c r="V134" s="733" t="s">
        <v>2552</v>
      </c>
      <c r="W134" s="751"/>
      <c r="X134" s="735"/>
      <c r="Y134" s="735"/>
      <c r="Z134" s="735"/>
      <c r="AA134" s="735"/>
      <c r="AB134" s="735"/>
      <c r="AC134" s="740"/>
      <c r="AD134" s="736">
        <v>43195</v>
      </c>
      <c r="AE134" s="737">
        <f t="shared" ca="1" si="7"/>
        <v>-1005</v>
      </c>
      <c r="AF134" s="649" t="s">
        <v>2384</v>
      </c>
    </row>
    <row r="135" spans="1:32" s="745" customFormat="1" ht="38.25" x14ac:dyDescent="0.2">
      <c r="A135" s="742" t="s">
        <v>2240</v>
      </c>
      <c r="B135" s="649"/>
      <c r="C135" s="649"/>
      <c r="D135" s="743" t="s">
        <v>2247</v>
      </c>
      <c r="E135" s="743" t="s">
        <v>2242</v>
      </c>
      <c r="F135" s="728">
        <v>0</v>
      </c>
      <c r="G135" s="729">
        <v>1963.58</v>
      </c>
      <c r="H135" s="729">
        <v>0</v>
      </c>
      <c r="I135" s="729">
        <v>0</v>
      </c>
      <c r="J135" s="729">
        <v>0</v>
      </c>
      <c r="K135" s="729">
        <v>0</v>
      </c>
      <c r="L135" s="729">
        <v>0</v>
      </c>
      <c r="M135" s="729">
        <v>0</v>
      </c>
      <c r="N135" s="729">
        <v>0</v>
      </c>
      <c r="O135" s="729">
        <v>0</v>
      </c>
      <c r="P135" s="729">
        <v>0</v>
      </c>
      <c r="Q135" s="729">
        <v>0</v>
      </c>
      <c r="R135" s="729">
        <v>0</v>
      </c>
      <c r="S135" s="730">
        <f t="shared" si="6"/>
        <v>1963.58</v>
      </c>
      <c r="T135" s="731">
        <f t="shared" ca="1" si="8"/>
        <v>-457</v>
      </c>
      <c r="U135" s="732">
        <v>43925</v>
      </c>
      <c r="V135" s="733" t="s">
        <v>2552</v>
      </c>
      <c r="W135" s="751"/>
      <c r="X135" s="735"/>
      <c r="Y135" s="735"/>
      <c r="Z135" s="735"/>
      <c r="AA135" s="735"/>
      <c r="AB135" s="735"/>
      <c r="AC135" s="740"/>
      <c r="AD135" s="736">
        <v>43195</v>
      </c>
      <c r="AE135" s="737">
        <f t="shared" ca="1" si="7"/>
        <v>-1005</v>
      </c>
      <c r="AF135" s="649" t="s">
        <v>2384</v>
      </c>
    </row>
    <row r="136" spans="1:32" s="745" customFormat="1" ht="38.25" x14ac:dyDescent="0.2">
      <c r="A136" s="742" t="s">
        <v>2240</v>
      </c>
      <c r="B136" s="649"/>
      <c r="C136" s="649"/>
      <c r="D136" s="743" t="s">
        <v>2248</v>
      </c>
      <c r="E136" s="743" t="s">
        <v>2242</v>
      </c>
      <c r="F136" s="728">
        <v>0</v>
      </c>
      <c r="G136" s="729">
        <v>0</v>
      </c>
      <c r="H136" s="729">
        <v>0</v>
      </c>
      <c r="I136" s="729">
        <v>0</v>
      </c>
      <c r="J136" s="729">
        <v>0</v>
      </c>
      <c r="K136" s="729">
        <v>0</v>
      </c>
      <c r="L136" s="729">
        <v>0</v>
      </c>
      <c r="M136" s="729">
        <v>0</v>
      </c>
      <c r="N136" s="729">
        <v>0</v>
      </c>
      <c r="O136" s="729">
        <v>0</v>
      </c>
      <c r="P136" s="729">
        <v>0</v>
      </c>
      <c r="Q136" s="729">
        <v>0</v>
      </c>
      <c r="R136" s="729">
        <v>0</v>
      </c>
      <c r="S136" s="730">
        <f t="shared" si="6"/>
        <v>0</v>
      </c>
      <c r="T136" s="731">
        <f t="shared" ca="1" si="8"/>
        <v>-823</v>
      </c>
      <c r="U136" s="732">
        <v>43559</v>
      </c>
      <c r="V136" s="739" t="s">
        <v>2243</v>
      </c>
      <c r="W136" s="751"/>
      <c r="X136" s="735"/>
      <c r="Y136" s="735"/>
      <c r="Z136" s="735"/>
      <c r="AA136" s="735"/>
      <c r="AB136" s="735"/>
      <c r="AC136" s="740">
        <v>43514</v>
      </c>
      <c r="AD136" s="736">
        <v>43195</v>
      </c>
      <c r="AE136" s="737">
        <f t="shared" ca="1" si="7"/>
        <v>-1005</v>
      </c>
      <c r="AF136" s="649" t="s">
        <v>2384</v>
      </c>
    </row>
    <row r="137" spans="1:32" s="745" customFormat="1" ht="38.25" x14ac:dyDescent="0.2">
      <c r="A137" s="742" t="s">
        <v>2240</v>
      </c>
      <c r="B137" s="649"/>
      <c r="C137" s="649"/>
      <c r="D137" s="743" t="s">
        <v>2249</v>
      </c>
      <c r="E137" s="743" t="s">
        <v>2242</v>
      </c>
      <c r="F137" s="728">
        <v>0</v>
      </c>
      <c r="G137" s="729">
        <v>0</v>
      </c>
      <c r="H137" s="729">
        <v>0</v>
      </c>
      <c r="I137" s="729">
        <f>300+300+300+300</f>
        <v>1200</v>
      </c>
      <c r="J137" s="729">
        <v>0</v>
      </c>
      <c r="K137" s="729">
        <v>0</v>
      </c>
      <c r="L137" s="729">
        <v>0</v>
      </c>
      <c r="M137" s="729">
        <v>0</v>
      </c>
      <c r="N137" s="729">
        <v>0</v>
      </c>
      <c r="O137" s="729">
        <v>0</v>
      </c>
      <c r="P137" s="729">
        <v>0</v>
      </c>
      <c r="Q137" s="729">
        <v>0</v>
      </c>
      <c r="R137" s="729">
        <v>0</v>
      </c>
      <c r="S137" s="730">
        <f t="shared" si="6"/>
        <v>1200</v>
      </c>
      <c r="T137" s="731">
        <f t="shared" ca="1" si="8"/>
        <v>-457</v>
      </c>
      <c r="U137" s="732">
        <v>43925</v>
      </c>
      <c r="V137" s="733" t="s">
        <v>2552</v>
      </c>
      <c r="W137" s="751"/>
      <c r="X137" s="735"/>
      <c r="Y137" s="735"/>
      <c r="Z137" s="735"/>
      <c r="AA137" s="735"/>
      <c r="AB137" s="735"/>
      <c r="AC137" s="740"/>
      <c r="AD137" s="736">
        <v>43195</v>
      </c>
      <c r="AE137" s="737">
        <f t="shared" ca="1" si="7"/>
        <v>-1005</v>
      </c>
      <c r="AF137" s="649" t="s">
        <v>2384</v>
      </c>
    </row>
    <row r="138" spans="1:32" s="745" customFormat="1" ht="51" x14ac:dyDescent="0.2">
      <c r="A138" s="742" t="s">
        <v>2240</v>
      </c>
      <c r="B138" s="649"/>
      <c r="C138" s="649"/>
      <c r="D138" s="743" t="s">
        <v>2250</v>
      </c>
      <c r="E138" s="743" t="s">
        <v>2242</v>
      </c>
      <c r="F138" s="728">
        <v>0</v>
      </c>
      <c r="G138" s="729">
        <v>0</v>
      </c>
      <c r="H138" s="729">
        <v>0</v>
      </c>
      <c r="I138" s="729">
        <v>0</v>
      </c>
      <c r="J138" s="729">
        <v>0</v>
      </c>
      <c r="K138" s="729">
        <v>0</v>
      </c>
      <c r="L138" s="729">
        <v>0</v>
      </c>
      <c r="M138" s="729">
        <v>0</v>
      </c>
      <c r="N138" s="729">
        <v>0</v>
      </c>
      <c r="O138" s="729">
        <v>0</v>
      </c>
      <c r="P138" s="729">
        <v>0</v>
      </c>
      <c r="Q138" s="729">
        <v>0</v>
      </c>
      <c r="R138" s="729">
        <v>0</v>
      </c>
      <c r="S138" s="730">
        <f t="shared" si="6"/>
        <v>0</v>
      </c>
      <c r="T138" s="731">
        <f t="shared" ca="1" si="8"/>
        <v>-823</v>
      </c>
      <c r="U138" s="732">
        <v>43559</v>
      </c>
      <c r="V138" s="739" t="s">
        <v>2243</v>
      </c>
      <c r="W138" s="751"/>
      <c r="X138" s="735"/>
      <c r="Y138" s="735"/>
      <c r="Z138" s="735"/>
      <c r="AA138" s="735"/>
      <c r="AB138" s="735"/>
      <c r="AC138" s="740">
        <v>43514</v>
      </c>
      <c r="AD138" s="736">
        <v>43195</v>
      </c>
      <c r="AE138" s="737">
        <f t="shared" ca="1" si="7"/>
        <v>-1005</v>
      </c>
      <c r="AF138" s="649" t="s">
        <v>2384</v>
      </c>
    </row>
    <row r="139" spans="1:32" s="745" customFormat="1" ht="38.25" x14ac:dyDescent="0.2">
      <c r="A139" s="742" t="s">
        <v>2240</v>
      </c>
      <c r="B139" s="649"/>
      <c r="C139" s="649"/>
      <c r="D139" s="743" t="s">
        <v>2251</v>
      </c>
      <c r="E139" s="743" t="s">
        <v>2242</v>
      </c>
      <c r="F139" s="728">
        <v>0</v>
      </c>
      <c r="G139" s="729">
        <v>0</v>
      </c>
      <c r="H139" s="729">
        <v>0</v>
      </c>
      <c r="I139" s="729">
        <v>0</v>
      </c>
      <c r="J139" s="729">
        <v>0</v>
      </c>
      <c r="K139" s="729">
        <v>0</v>
      </c>
      <c r="L139" s="729">
        <v>0</v>
      </c>
      <c r="M139" s="729">
        <v>0</v>
      </c>
      <c r="N139" s="729">
        <v>0</v>
      </c>
      <c r="O139" s="729">
        <v>0</v>
      </c>
      <c r="P139" s="729">
        <v>0</v>
      </c>
      <c r="Q139" s="729">
        <v>0</v>
      </c>
      <c r="R139" s="729">
        <v>0</v>
      </c>
      <c r="S139" s="730">
        <f t="shared" si="6"/>
        <v>0</v>
      </c>
      <c r="T139" s="731">
        <f t="shared" ca="1" si="8"/>
        <v>-823</v>
      </c>
      <c r="U139" s="732">
        <v>43559</v>
      </c>
      <c r="V139" s="739" t="s">
        <v>2243</v>
      </c>
      <c r="W139" s="751"/>
      <c r="X139" s="735"/>
      <c r="Y139" s="735"/>
      <c r="Z139" s="735"/>
      <c r="AA139" s="735"/>
      <c r="AB139" s="735"/>
      <c r="AC139" s="740">
        <v>43514</v>
      </c>
      <c r="AD139" s="736">
        <v>43195</v>
      </c>
      <c r="AE139" s="737">
        <f t="shared" ca="1" si="7"/>
        <v>-1005</v>
      </c>
      <c r="AF139" s="649" t="s">
        <v>2384</v>
      </c>
    </row>
    <row r="140" spans="1:32" s="745" customFormat="1" ht="38.25" x14ac:dyDescent="0.2">
      <c r="A140" s="742" t="s">
        <v>2240</v>
      </c>
      <c r="B140" s="649"/>
      <c r="C140" s="649"/>
      <c r="D140" s="743" t="s">
        <v>2252</v>
      </c>
      <c r="E140" s="743" t="s">
        <v>2242</v>
      </c>
      <c r="F140" s="728">
        <v>0</v>
      </c>
      <c r="G140" s="729">
        <v>0</v>
      </c>
      <c r="H140" s="729">
        <v>0</v>
      </c>
      <c r="I140" s="729">
        <v>3976.32</v>
      </c>
      <c r="J140" s="729">
        <v>0</v>
      </c>
      <c r="K140" s="729">
        <v>0</v>
      </c>
      <c r="L140" s="729">
        <v>0</v>
      </c>
      <c r="M140" s="729">
        <v>0</v>
      </c>
      <c r="N140" s="729">
        <v>0</v>
      </c>
      <c r="O140" s="729">
        <v>0</v>
      </c>
      <c r="P140" s="729">
        <v>0</v>
      </c>
      <c r="Q140" s="729">
        <v>0</v>
      </c>
      <c r="R140" s="729">
        <v>0</v>
      </c>
      <c r="S140" s="730">
        <f t="shared" si="6"/>
        <v>3976.32</v>
      </c>
      <c r="T140" s="731">
        <f t="shared" ca="1" si="8"/>
        <v>-457</v>
      </c>
      <c r="U140" s="732">
        <v>43925</v>
      </c>
      <c r="V140" s="733" t="s">
        <v>2552</v>
      </c>
      <c r="W140" s="751"/>
      <c r="X140" s="735"/>
      <c r="Y140" s="735"/>
      <c r="Z140" s="735"/>
      <c r="AA140" s="735"/>
      <c r="AB140" s="735"/>
      <c r="AC140" s="740"/>
      <c r="AD140" s="736">
        <v>43195</v>
      </c>
      <c r="AE140" s="737">
        <f t="shared" ca="1" si="7"/>
        <v>-1005</v>
      </c>
      <c r="AF140" s="649" t="s">
        <v>2384</v>
      </c>
    </row>
    <row r="141" spans="1:32" s="745" customFormat="1" ht="38.25" x14ac:dyDescent="0.2">
      <c r="A141" s="742" t="s">
        <v>2240</v>
      </c>
      <c r="B141" s="649"/>
      <c r="C141" s="649"/>
      <c r="D141" s="743" t="s">
        <v>2553</v>
      </c>
      <c r="E141" s="743" t="s">
        <v>2242</v>
      </c>
      <c r="F141" s="728">
        <v>0</v>
      </c>
      <c r="G141" s="729">
        <v>0</v>
      </c>
      <c r="H141" s="729">
        <v>0</v>
      </c>
      <c r="I141" s="729">
        <v>0</v>
      </c>
      <c r="J141" s="729">
        <v>0</v>
      </c>
      <c r="K141" s="729">
        <v>150</v>
      </c>
      <c r="L141" s="729">
        <f>300+300</f>
        <v>600</v>
      </c>
      <c r="M141" s="729">
        <v>0</v>
      </c>
      <c r="N141" s="729">
        <v>741.46</v>
      </c>
      <c r="O141" s="729">
        <v>0</v>
      </c>
      <c r="P141" s="729">
        <v>0</v>
      </c>
      <c r="Q141" s="729">
        <v>0</v>
      </c>
      <c r="R141" s="729">
        <v>0</v>
      </c>
      <c r="S141" s="730">
        <f>SUM(G141:R141)</f>
        <v>1491.46</v>
      </c>
      <c r="T141" s="731">
        <f ca="1">U141-$AE$3</f>
        <v>-457</v>
      </c>
      <c r="U141" s="732">
        <v>43925</v>
      </c>
      <c r="V141" s="733" t="s">
        <v>2552</v>
      </c>
      <c r="W141" s="751"/>
      <c r="X141" s="735"/>
      <c r="Y141" s="735"/>
      <c r="Z141" s="735"/>
      <c r="AA141" s="735"/>
      <c r="AB141" s="735"/>
      <c r="AC141" s="740"/>
      <c r="AD141" s="736">
        <v>43195</v>
      </c>
      <c r="AE141" s="737">
        <f ca="1">TODAY()-DATE(YEAR(AD141)+6,MONTH(AD141),DAY(AD141))</f>
        <v>-1005</v>
      </c>
      <c r="AF141" s="649" t="s">
        <v>2384</v>
      </c>
    </row>
    <row r="142" spans="1:32" s="745" customFormat="1" ht="38.25" x14ac:dyDescent="0.2">
      <c r="A142" s="742" t="s">
        <v>2240</v>
      </c>
      <c r="B142" s="649"/>
      <c r="C142" s="649"/>
      <c r="D142" s="743" t="s">
        <v>2253</v>
      </c>
      <c r="E142" s="743" t="s">
        <v>2242</v>
      </c>
      <c r="F142" s="728">
        <v>0</v>
      </c>
      <c r="G142" s="729">
        <v>0</v>
      </c>
      <c r="H142" s="729">
        <v>0</v>
      </c>
      <c r="I142" s="729">
        <v>0</v>
      </c>
      <c r="J142" s="729">
        <v>0</v>
      </c>
      <c r="K142" s="729">
        <v>0</v>
      </c>
      <c r="L142" s="729">
        <v>0</v>
      </c>
      <c r="M142" s="729">
        <v>0</v>
      </c>
      <c r="N142" s="729">
        <v>0</v>
      </c>
      <c r="O142" s="729">
        <v>0</v>
      </c>
      <c r="P142" s="729">
        <v>0</v>
      </c>
      <c r="Q142" s="729">
        <v>0</v>
      </c>
      <c r="R142" s="729">
        <v>0</v>
      </c>
      <c r="S142" s="730">
        <f t="shared" si="6"/>
        <v>0</v>
      </c>
      <c r="T142" s="731">
        <f t="shared" ca="1" si="8"/>
        <v>-823</v>
      </c>
      <c r="U142" s="732">
        <v>43559</v>
      </c>
      <c r="V142" s="739" t="s">
        <v>2243</v>
      </c>
      <c r="W142" s="751"/>
      <c r="X142" s="735"/>
      <c r="Y142" s="735"/>
      <c r="Z142" s="735"/>
      <c r="AA142" s="735"/>
      <c r="AB142" s="735"/>
      <c r="AC142" s="740">
        <v>43514</v>
      </c>
      <c r="AD142" s="736">
        <v>43195</v>
      </c>
      <c r="AE142" s="737">
        <f t="shared" ca="1" si="7"/>
        <v>-1005</v>
      </c>
      <c r="AF142" s="649" t="s">
        <v>2384</v>
      </c>
    </row>
    <row r="143" spans="1:32" s="745" customFormat="1" ht="38.25" x14ac:dyDescent="0.2">
      <c r="A143" s="742" t="s">
        <v>2240</v>
      </c>
      <c r="B143" s="649"/>
      <c r="C143" s="649"/>
      <c r="D143" s="743" t="s">
        <v>2254</v>
      </c>
      <c r="E143" s="743" t="s">
        <v>2242</v>
      </c>
      <c r="F143" s="728">
        <v>0</v>
      </c>
      <c r="G143" s="729">
        <v>0</v>
      </c>
      <c r="H143" s="729">
        <v>0</v>
      </c>
      <c r="I143" s="729">
        <v>0</v>
      </c>
      <c r="J143" s="729">
        <v>0</v>
      </c>
      <c r="K143" s="729">
        <v>0</v>
      </c>
      <c r="L143" s="729">
        <v>8586</v>
      </c>
      <c r="M143" s="729">
        <f>4610.5+1213.35</f>
        <v>5823.85</v>
      </c>
      <c r="N143" s="729">
        <v>0</v>
      </c>
      <c r="O143" s="729">
        <v>0</v>
      </c>
      <c r="P143" s="729">
        <v>0</v>
      </c>
      <c r="Q143" s="729">
        <v>12295.78</v>
      </c>
      <c r="R143" s="729">
        <v>0</v>
      </c>
      <c r="S143" s="730">
        <f t="shared" si="6"/>
        <v>26705.63</v>
      </c>
      <c r="T143" s="731">
        <f t="shared" ca="1" si="8"/>
        <v>-457</v>
      </c>
      <c r="U143" s="732">
        <v>43925</v>
      </c>
      <c r="V143" s="733" t="s">
        <v>2552</v>
      </c>
      <c r="W143" s="751"/>
      <c r="X143" s="735"/>
      <c r="Y143" s="735"/>
      <c r="Z143" s="735"/>
      <c r="AA143" s="735"/>
      <c r="AB143" s="735"/>
      <c r="AC143" s="740"/>
      <c r="AD143" s="736">
        <v>43195</v>
      </c>
      <c r="AE143" s="737">
        <f t="shared" ca="1" si="7"/>
        <v>-1005</v>
      </c>
      <c r="AF143" s="649" t="s">
        <v>2384</v>
      </c>
    </row>
    <row r="144" spans="1:32" s="745" customFormat="1" ht="38.25" x14ac:dyDescent="0.2">
      <c r="A144" s="742" t="s">
        <v>2240</v>
      </c>
      <c r="B144" s="649"/>
      <c r="C144" s="649"/>
      <c r="D144" s="743" t="s">
        <v>2255</v>
      </c>
      <c r="E144" s="743" t="s">
        <v>2242</v>
      </c>
      <c r="F144" s="728">
        <v>0</v>
      </c>
      <c r="G144" s="729">
        <f>516.56+50</f>
        <v>566.55999999999995</v>
      </c>
      <c r="H144" s="729">
        <v>460</v>
      </c>
      <c r="I144" s="729">
        <f>506.42+347.05+819.22+5198.17</f>
        <v>6870.8600000000006</v>
      </c>
      <c r="J144" s="729">
        <f>9356.72+2674.69</f>
        <v>12031.41</v>
      </c>
      <c r="K144" s="729">
        <v>0</v>
      </c>
      <c r="L144" s="729">
        <v>0</v>
      </c>
      <c r="M144" s="729">
        <v>0</v>
      </c>
      <c r="N144" s="729">
        <f>1101.89+200.63</f>
        <v>1302.52</v>
      </c>
      <c r="O144" s="729">
        <v>989.45</v>
      </c>
      <c r="P144" s="729">
        <v>1800</v>
      </c>
      <c r="Q144" s="729">
        <f>1428.62+150+150+150+1300</f>
        <v>3178.62</v>
      </c>
      <c r="R144" s="729">
        <f>11717.89+150</f>
        <v>11867.89</v>
      </c>
      <c r="S144" s="730">
        <f t="shared" si="6"/>
        <v>39067.31</v>
      </c>
      <c r="T144" s="731">
        <f t="shared" ca="1" si="8"/>
        <v>-457</v>
      </c>
      <c r="U144" s="732">
        <v>43925</v>
      </c>
      <c r="V144" s="733" t="s">
        <v>2552</v>
      </c>
      <c r="W144" s="751"/>
      <c r="X144" s="735"/>
      <c r="Y144" s="735"/>
      <c r="Z144" s="735"/>
      <c r="AA144" s="735"/>
      <c r="AB144" s="735"/>
      <c r="AC144" s="740"/>
      <c r="AD144" s="736">
        <v>43195</v>
      </c>
      <c r="AE144" s="737">
        <f t="shared" ca="1" si="7"/>
        <v>-1005</v>
      </c>
      <c r="AF144" s="649" t="s">
        <v>2384</v>
      </c>
    </row>
    <row r="145" spans="1:32" s="745" customFormat="1" ht="38.25" x14ac:dyDescent="0.2">
      <c r="A145" s="742" t="s">
        <v>2240</v>
      </c>
      <c r="B145" s="649"/>
      <c r="C145" s="649"/>
      <c r="D145" s="743" t="s">
        <v>2256</v>
      </c>
      <c r="E145" s="743" t="s">
        <v>2242</v>
      </c>
      <c r="F145" s="728">
        <v>0</v>
      </c>
      <c r="G145" s="729">
        <v>0</v>
      </c>
      <c r="H145" s="729">
        <v>0</v>
      </c>
      <c r="I145" s="729">
        <v>0</v>
      </c>
      <c r="J145" s="729">
        <v>0</v>
      </c>
      <c r="K145" s="729">
        <v>0</v>
      </c>
      <c r="L145" s="729">
        <v>0</v>
      </c>
      <c r="M145" s="729">
        <v>0</v>
      </c>
      <c r="N145" s="729">
        <v>0</v>
      </c>
      <c r="O145" s="729">
        <v>0</v>
      </c>
      <c r="P145" s="729">
        <v>0</v>
      </c>
      <c r="Q145" s="729">
        <v>0</v>
      </c>
      <c r="R145" s="729">
        <v>0</v>
      </c>
      <c r="S145" s="730">
        <f t="shared" si="6"/>
        <v>0</v>
      </c>
      <c r="T145" s="731">
        <f t="shared" ca="1" si="8"/>
        <v>-457</v>
      </c>
      <c r="U145" s="732">
        <v>43925</v>
      </c>
      <c r="V145" s="733" t="s">
        <v>2552</v>
      </c>
      <c r="W145" s="751"/>
      <c r="X145" s="735"/>
      <c r="Y145" s="735"/>
      <c r="Z145" s="735"/>
      <c r="AA145" s="735"/>
      <c r="AB145" s="735"/>
      <c r="AC145" s="740"/>
      <c r="AD145" s="736">
        <v>43195</v>
      </c>
      <c r="AE145" s="737">
        <f t="shared" ca="1" si="7"/>
        <v>-1005</v>
      </c>
      <c r="AF145" s="649" t="s">
        <v>2384</v>
      </c>
    </row>
    <row r="146" spans="1:32" s="745" customFormat="1" ht="38.25" x14ac:dyDescent="0.2">
      <c r="A146" s="742" t="s">
        <v>2240</v>
      </c>
      <c r="B146" s="649"/>
      <c r="C146" s="649"/>
      <c r="D146" s="743" t="s">
        <v>2257</v>
      </c>
      <c r="E146" s="743" t="s">
        <v>2242</v>
      </c>
      <c r="F146" s="728">
        <v>0</v>
      </c>
      <c r="G146" s="729">
        <v>0</v>
      </c>
      <c r="H146" s="729">
        <v>0</v>
      </c>
      <c r="I146" s="729">
        <v>0</v>
      </c>
      <c r="J146" s="729">
        <v>0</v>
      </c>
      <c r="K146" s="729">
        <v>0</v>
      </c>
      <c r="L146" s="729">
        <v>0</v>
      </c>
      <c r="M146" s="729">
        <v>0</v>
      </c>
      <c r="N146" s="729">
        <v>0</v>
      </c>
      <c r="O146" s="729">
        <v>3592.16</v>
      </c>
      <c r="P146" s="729">
        <v>1151.58</v>
      </c>
      <c r="Q146" s="729">
        <v>0</v>
      </c>
      <c r="R146" s="729">
        <v>0</v>
      </c>
      <c r="S146" s="730">
        <f>SUM(G146:R146)</f>
        <v>4743.74</v>
      </c>
      <c r="T146" s="731">
        <f t="shared" ca="1" si="8"/>
        <v>-457</v>
      </c>
      <c r="U146" s="732">
        <v>43925</v>
      </c>
      <c r="V146" s="733" t="s">
        <v>2552</v>
      </c>
      <c r="W146" s="751"/>
      <c r="X146" s="735"/>
      <c r="Y146" s="735"/>
      <c r="Z146" s="735"/>
      <c r="AA146" s="735"/>
      <c r="AB146" s="735"/>
      <c r="AC146" s="740"/>
      <c r="AD146" s="736">
        <v>43195</v>
      </c>
      <c r="AE146" s="737">
        <f t="shared" ca="1" si="7"/>
        <v>-1005</v>
      </c>
      <c r="AF146" s="649" t="s">
        <v>2384</v>
      </c>
    </row>
    <row r="147" spans="1:32" s="745" customFormat="1" ht="38.25" x14ac:dyDescent="0.2">
      <c r="A147" s="742" t="s">
        <v>2240</v>
      </c>
      <c r="B147" s="649"/>
      <c r="C147" s="649"/>
      <c r="D147" s="743" t="s">
        <v>2258</v>
      </c>
      <c r="E147" s="743" t="s">
        <v>2242</v>
      </c>
      <c r="F147" s="728">
        <v>0</v>
      </c>
      <c r="G147" s="729">
        <v>294.39999999999998</v>
      </c>
      <c r="H147" s="729">
        <v>0</v>
      </c>
      <c r="I147" s="729">
        <v>5404.66</v>
      </c>
      <c r="J147" s="729">
        <v>0</v>
      </c>
      <c r="K147" s="729">
        <v>0</v>
      </c>
      <c r="L147" s="729">
        <v>0</v>
      </c>
      <c r="M147" s="729">
        <v>0</v>
      </c>
      <c r="N147" s="729">
        <f>1752.02+351.77</f>
        <v>2103.79</v>
      </c>
      <c r="O147" s="729">
        <v>0</v>
      </c>
      <c r="P147" s="729">
        <v>0</v>
      </c>
      <c r="Q147" s="729">
        <v>6445.01</v>
      </c>
      <c r="R147" s="729">
        <v>0</v>
      </c>
      <c r="S147" s="730">
        <f t="shared" ref="S147:S164" si="9">SUM(G147:R147)</f>
        <v>14247.86</v>
      </c>
      <c r="T147" s="731">
        <f t="shared" ca="1" si="8"/>
        <v>-457</v>
      </c>
      <c r="U147" s="732">
        <v>43925</v>
      </c>
      <c r="V147" s="733" t="s">
        <v>2552</v>
      </c>
      <c r="W147" s="751"/>
      <c r="X147" s="735"/>
      <c r="Y147" s="735"/>
      <c r="Z147" s="735"/>
      <c r="AA147" s="735"/>
      <c r="AB147" s="735"/>
      <c r="AC147" s="740"/>
      <c r="AD147" s="736">
        <v>43195</v>
      </c>
      <c r="AE147" s="737">
        <f t="shared" ca="1" si="7"/>
        <v>-1005</v>
      </c>
      <c r="AF147" s="649" t="s">
        <v>2384</v>
      </c>
    </row>
    <row r="148" spans="1:32" s="745" customFormat="1" ht="38.25" x14ac:dyDescent="0.2">
      <c r="A148" s="742" t="s">
        <v>2240</v>
      </c>
      <c r="B148" s="649"/>
      <c r="C148" s="649"/>
      <c r="D148" s="743" t="s">
        <v>2259</v>
      </c>
      <c r="E148" s="743" t="s">
        <v>2242</v>
      </c>
      <c r="F148" s="728">
        <v>0</v>
      </c>
      <c r="G148" s="729">
        <v>0</v>
      </c>
      <c r="H148" s="729">
        <v>0</v>
      </c>
      <c r="I148" s="729">
        <v>0</v>
      </c>
      <c r="J148" s="729">
        <v>0</v>
      </c>
      <c r="K148" s="729">
        <v>0</v>
      </c>
      <c r="L148" s="729">
        <v>926.42</v>
      </c>
      <c r="M148" s="729">
        <v>0</v>
      </c>
      <c r="N148" s="729">
        <v>568.65</v>
      </c>
      <c r="O148" s="729">
        <v>0</v>
      </c>
      <c r="P148" s="729">
        <v>0</v>
      </c>
      <c r="Q148" s="729">
        <v>996.75</v>
      </c>
      <c r="R148" s="729">
        <v>927.18</v>
      </c>
      <c r="S148" s="730">
        <f>SUM(G148:R148)</f>
        <v>3418.9999999999995</v>
      </c>
      <c r="T148" s="731">
        <f t="shared" ca="1" si="8"/>
        <v>-457</v>
      </c>
      <c r="U148" s="732">
        <v>43925</v>
      </c>
      <c r="V148" s="733" t="s">
        <v>2552</v>
      </c>
      <c r="W148" s="751"/>
      <c r="X148" s="735"/>
      <c r="Y148" s="735"/>
      <c r="Z148" s="735"/>
      <c r="AA148" s="735"/>
      <c r="AB148" s="735"/>
      <c r="AC148" s="740"/>
      <c r="AD148" s="736">
        <v>43195</v>
      </c>
      <c r="AE148" s="737">
        <f t="shared" ca="1" si="7"/>
        <v>-1005</v>
      </c>
      <c r="AF148" s="649" t="s">
        <v>2384</v>
      </c>
    </row>
    <row r="149" spans="1:32" s="745" customFormat="1" ht="38.25" x14ac:dyDescent="0.2">
      <c r="A149" s="742" t="s">
        <v>2240</v>
      </c>
      <c r="B149" s="649"/>
      <c r="C149" s="649"/>
      <c r="D149" s="743" t="s">
        <v>2260</v>
      </c>
      <c r="E149" s="743" t="s">
        <v>2242</v>
      </c>
      <c r="F149" s="728">
        <v>0</v>
      </c>
      <c r="G149" s="729">
        <f>1295.54+2219.14+886.6+133.92+198.57</f>
        <v>4733.7699999999995</v>
      </c>
      <c r="H149" s="729">
        <f>2185.35+93.59+300+300</f>
        <v>2878.94</v>
      </c>
      <c r="I149" s="729">
        <f>1754.11+1255.34+640.01</f>
        <v>3649.46</v>
      </c>
      <c r="J149" s="729">
        <v>0</v>
      </c>
      <c r="K149" s="729">
        <f>956.85+2386.43</f>
        <v>3343.2799999999997</v>
      </c>
      <c r="L149" s="729">
        <v>3323.6</v>
      </c>
      <c r="M149" s="729">
        <f>2279.25+361.36+25126.9</f>
        <v>27767.510000000002</v>
      </c>
      <c r="N149" s="729">
        <v>200</v>
      </c>
      <c r="O149" s="729">
        <f>2133.68+541.62</f>
        <v>2675.2999999999997</v>
      </c>
      <c r="P149" s="839">
        <f>577.9+862.06</f>
        <v>1439.96</v>
      </c>
      <c r="Q149" s="729">
        <v>0</v>
      </c>
      <c r="R149" s="729">
        <f>1072.6+1044.4</f>
        <v>2117</v>
      </c>
      <c r="S149" s="730">
        <f t="shared" si="9"/>
        <v>52128.82</v>
      </c>
      <c r="T149" s="731">
        <f t="shared" ca="1" si="8"/>
        <v>-457</v>
      </c>
      <c r="U149" s="732">
        <v>43925</v>
      </c>
      <c r="V149" s="733" t="s">
        <v>2552</v>
      </c>
      <c r="W149" s="751"/>
      <c r="X149" s="735"/>
      <c r="Y149" s="735"/>
      <c r="Z149" s="735"/>
      <c r="AA149" s="735"/>
      <c r="AB149" s="735"/>
      <c r="AC149" s="740"/>
      <c r="AD149" s="736">
        <v>43195</v>
      </c>
      <c r="AE149" s="737">
        <f t="shared" ca="1" si="7"/>
        <v>-1005</v>
      </c>
      <c r="AF149" s="649" t="s">
        <v>2384</v>
      </c>
    </row>
    <row r="150" spans="1:32" s="745" customFormat="1" ht="38.25" x14ac:dyDescent="0.2">
      <c r="A150" s="742" t="s">
        <v>2240</v>
      </c>
      <c r="B150" s="649"/>
      <c r="C150" s="649"/>
      <c r="D150" s="743" t="s">
        <v>2261</v>
      </c>
      <c r="E150" s="743" t="s">
        <v>2242</v>
      </c>
      <c r="F150" s="728">
        <v>0</v>
      </c>
      <c r="G150" s="729">
        <v>0</v>
      </c>
      <c r="H150" s="729">
        <v>0</v>
      </c>
      <c r="I150" s="729">
        <v>0</v>
      </c>
      <c r="J150" s="729">
        <v>0</v>
      </c>
      <c r="K150" s="729">
        <v>0</v>
      </c>
      <c r="L150" s="729">
        <v>0</v>
      </c>
      <c r="M150" s="729">
        <v>0</v>
      </c>
      <c r="N150" s="729">
        <v>0</v>
      </c>
      <c r="O150" s="729">
        <v>0</v>
      </c>
      <c r="P150" s="729">
        <v>0</v>
      </c>
      <c r="Q150" s="729">
        <v>0</v>
      </c>
      <c r="R150" s="729">
        <v>0</v>
      </c>
      <c r="S150" s="730">
        <f t="shared" si="9"/>
        <v>0</v>
      </c>
      <c r="T150" s="731">
        <f t="shared" ca="1" si="8"/>
        <v>-457</v>
      </c>
      <c r="U150" s="732">
        <v>43925</v>
      </c>
      <c r="V150" s="733" t="s">
        <v>2552</v>
      </c>
      <c r="W150" s="751"/>
      <c r="X150" s="735"/>
      <c r="Y150" s="735"/>
      <c r="Z150" s="735"/>
      <c r="AA150" s="735"/>
      <c r="AB150" s="735"/>
      <c r="AC150" s="740"/>
      <c r="AD150" s="736">
        <v>43195</v>
      </c>
      <c r="AE150" s="737">
        <f t="shared" ca="1" si="7"/>
        <v>-1005</v>
      </c>
      <c r="AF150" s="649" t="s">
        <v>2384</v>
      </c>
    </row>
    <row r="151" spans="1:32" s="745" customFormat="1" ht="38.25" x14ac:dyDescent="0.2">
      <c r="A151" s="742" t="s">
        <v>2240</v>
      </c>
      <c r="B151" s="649"/>
      <c r="C151" s="649"/>
      <c r="D151" s="743" t="s">
        <v>2262</v>
      </c>
      <c r="E151" s="743" t="s">
        <v>2242</v>
      </c>
      <c r="F151" s="728">
        <v>0</v>
      </c>
      <c r="G151" s="729">
        <v>300</v>
      </c>
      <c r="H151" s="729">
        <v>0</v>
      </c>
      <c r="I151" s="729">
        <v>0</v>
      </c>
      <c r="J151" s="729">
        <v>1037.07</v>
      </c>
      <c r="K151" s="729">
        <v>0</v>
      </c>
      <c r="L151" s="729">
        <v>0</v>
      </c>
      <c r="M151" s="729">
        <v>0</v>
      </c>
      <c r="N151" s="729">
        <v>0</v>
      </c>
      <c r="O151" s="729">
        <v>0</v>
      </c>
      <c r="P151" s="729">
        <v>0</v>
      </c>
      <c r="Q151" s="729">
        <v>479.22</v>
      </c>
      <c r="R151" s="729">
        <v>0</v>
      </c>
      <c r="S151" s="730">
        <f t="shared" si="9"/>
        <v>1816.29</v>
      </c>
      <c r="T151" s="731">
        <f t="shared" ca="1" si="8"/>
        <v>-457</v>
      </c>
      <c r="U151" s="732">
        <v>43925</v>
      </c>
      <c r="V151" s="733" t="s">
        <v>2552</v>
      </c>
      <c r="W151" s="751"/>
      <c r="X151" s="735"/>
      <c r="Y151" s="735"/>
      <c r="Z151" s="735"/>
      <c r="AA151" s="735"/>
      <c r="AB151" s="735"/>
      <c r="AC151" s="740"/>
      <c r="AD151" s="736">
        <v>43195</v>
      </c>
      <c r="AE151" s="737">
        <f t="shared" ca="1" si="7"/>
        <v>-1005</v>
      </c>
      <c r="AF151" s="649" t="s">
        <v>2384</v>
      </c>
    </row>
    <row r="152" spans="1:32" s="745" customFormat="1" ht="38.25" x14ac:dyDescent="0.2">
      <c r="A152" s="742" t="s">
        <v>2240</v>
      </c>
      <c r="B152" s="649"/>
      <c r="C152" s="649"/>
      <c r="D152" s="743" t="s">
        <v>2264</v>
      </c>
      <c r="E152" s="743" t="s">
        <v>2242</v>
      </c>
      <c r="F152" s="728">
        <v>0</v>
      </c>
      <c r="G152" s="729">
        <v>0</v>
      </c>
      <c r="H152" s="729">
        <v>0</v>
      </c>
      <c r="I152" s="729">
        <v>0</v>
      </c>
      <c r="J152" s="729">
        <v>0</v>
      </c>
      <c r="K152" s="729">
        <v>0</v>
      </c>
      <c r="L152" s="729">
        <v>0</v>
      </c>
      <c r="M152" s="729">
        <v>0</v>
      </c>
      <c r="N152" s="729">
        <v>0</v>
      </c>
      <c r="O152" s="729">
        <v>0</v>
      </c>
      <c r="P152" s="729">
        <v>0</v>
      </c>
      <c r="Q152" s="729">
        <v>0</v>
      </c>
      <c r="R152" s="729">
        <v>0</v>
      </c>
      <c r="S152" s="730">
        <f t="shared" si="9"/>
        <v>0</v>
      </c>
      <c r="T152" s="731">
        <f t="shared" ca="1" si="8"/>
        <v>-823</v>
      </c>
      <c r="U152" s="732">
        <v>43559</v>
      </c>
      <c r="V152" s="739" t="s">
        <v>2243</v>
      </c>
      <c r="W152" s="751"/>
      <c r="X152" s="735"/>
      <c r="Y152" s="735"/>
      <c r="Z152" s="735"/>
      <c r="AA152" s="735"/>
      <c r="AB152" s="735"/>
      <c r="AC152" s="740">
        <v>43514</v>
      </c>
      <c r="AD152" s="736">
        <v>43195</v>
      </c>
      <c r="AE152" s="737">
        <f t="shared" ca="1" si="7"/>
        <v>-1005</v>
      </c>
      <c r="AF152" s="649" t="s">
        <v>2384</v>
      </c>
    </row>
    <row r="153" spans="1:32" s="745" customFormat="1" ht="54.95" customHeight="1" x14ac:dyDescent="0.2">
      <c r="A153" s="742" t="s">
        <v>2240</v>
      </c>
      <c r="B153" s="649"/>
      <c r="C153" s="649"/>
      <c r="D153" s="743" t="s">
        <v>2263</v>
      </c>
      <c r="E153" s="743" t="s">
        <v>2242</v>
      </c>
      <c r="F153" s="728">
        <v>0</v>
      </c>
      <c r="G153" s="729">
        <v>0</v>
      </c>
      <c r="H153" s="729">
        <v>0</v>
      </c>
      <c r="I153" s="729">
        <v>0</v>
      </c>
      <c r="J153" s="729">
        <v>0</v>
      </c>
      <c r="K153" s="729">
        <v>0</v>
      </c>
      <c r="L153" s="729">
        <v>0</v>
      </c>
      <c r="M153" s="729">
        <v>0</v>
      </c>
      <c r="N153" s="729">
        <v>0</v>
      </c>
      <c r="O153" s="729">
        <v>0</v>
      </c>
      <c r="P153" s="729">
        <v>0</v>
      </c>
      <c r="Q153" s="729">
        <v>0</v>
      </c>
      <c r="R153" s="729">
        <v>0</v>
      </c>
      <c r="S153" s="730">
        <f t="shared" si="9"/>
        <v>0</v>
      </c>
      <c r="T153" s="731">
        <f t="shared" ca="1" si="8"/>
        <v>-457</v>
      </c>
      <c r="U153" s="732">
        <v>43925</v>
      </c>
      <c r="V153" s="733" t="s">
        <v>2552</v>
      </c>
      <c r="W153" s="751"/>
      <c r="X153" s="735"/>
      <c r="Y153" s="735"/>
      <c r="Z153" s="735"/>
      <c r="AA153" s="735"/>
      <c r="AB153" s="735"/>
      <c r="AC153" s="740"/>
      <c r="AD153" s="736">
        <v>43195</v>
      </c>
      <c r="AE153" s="737">
        <f t="shared" ca="1" si="7"/>
        <v>-1005</v>
      </c>
      <c r="AF153" s="649" t="s">
        <v>2384</v>
      </c>
    </row>
    <row r="154" spans="1:32" s="745" customFormat="1" ht="38.25" x14ac:dyDescent="0.2">
      <c r="A154" s="742" t="s">
        <v>1916</v>
      </c>
      <c r="B154" s="649"/>
      <c r="C154" s="649" t="s">
        <v>1917</v>
      </c>
      <c r="D154" s="743" t="s">
        <v>2265</v>
      </c>
      <c r="E154" s="743" t="s">
        <v>1919</v>
      </c>
      <c r="F154" s="728">
        <v>0</v>
      </c>
      <c r="G154" s="729">
        <v>0</v>
      </c>
      <c r="H154" s="729">
        <v>0</v>
      </c>
      <c r="I154" s="729">
        <v>0</v>
      </c>
      <c r="J154" s="729">
        <v>1725.92</v>
      </c>
      <c r="K154" s="729">
        <v>0</v>
      </c>
      <c r="L154" s="729">
        <v>0</v>
      </c>
      <c r="M154" s="729">
        <v>0</v>
      </c>
      <c r="N154" s="729">
        <v>0</v>
      </c>
      <c r="O154" s="729">
        <v>0</v>
      </c>
      <c r="P154" s="729">
        <v>0</v>
      </c>
      <c r="Q154" s="729">
        <v>0</v>
      </c>
      <c r="R154" s="729">
        <v>5019.76</v>
      </c>
      <c r="S154" s="730">
        <f t="shared" si="9"/>
        <v>6745.68</v>
      </c>
      <c r="T154" s="731">
        <f t="shared" ca="1" si="8"/>
        <v>-415</v>
      </c>
      <c r="U154" s="732">
        <v>43967</v>
      </c>
      <c r="V154" s="733" t="s">
        <v>2541</v>
      </c>
      <c r="W154" s="751"/>
      <c r="X154" s="735"/>
      <c r="Y154" s="735"/>
      <c r="Z154" s="735"/>
      <c r="AA154" s="735"/>
      <c r="AB154" s="735"/>
      <c r="AC154" s="740"/>
      <c r="AD154" s="736">
        <v>43236</v>
      </c>
      <c r="AE154" s="737">
        <f t="shared" ca="1" si="7"/>
        <v>-1046</v>
      </c>
      <c r="AF154" s="649" t="s">
        <v>2343</v>
      </c>
    </row>
    <row r="155" spans="1:32" s="745" customFormat="1" ht="38.25" x14ac:dyDescent="0.2">
      <c r="A155" s="742" t="s">
        <v>1756</v>
      </c>
      <c r="B155" s="649"/>
      <c r="C155" s="649" t="s">
        <v>1757</v>
      </c>
      <c r="D155" s="743" t="s">
        <v>2271</v>
      </c>
      <c r="E155" s="743" t="s">
        <v>1798</v>
      </c>
      <c r="F155" s="728" t="s">
        <v>314</v>
      </c>
      <c r="G155" s="729">
        <v>0</v>
      </c>
      <c r="H155" s="729">
        <v>0</v>
      </c>
      <c r="I155" s="729">
        <v>0</v>
      </c>
      <c r="J155" s="729">
        <v>0</v>
      </c>
      <c r="K155" s="729">
        <v>0</v>
      </c>
      <c r="L155" s="729">
        <v>0</v>
      </c>
      <c r="M155" s="729">
        <v>0</v>
      </c>
      <c r="N155" s="729">
        <v>0</v>
      </c>
      <c r="O155" s="729">
        <v>0</v>
      </c>
      <c r="P155" s="729">
        <v>0</v>
      </c>
      <c r="Q155" s="729">
        <v>0</v>
      </c>
      <c r="R155" s="729">
        <v>0</v>
      </c>
      <c r="S155" s="730">
        <f t="shared" si="9"/>
        <v>0</v>
      </c>
      <c r="T155" s="731">
        <f t="shared" ca="1" si="8"/>
        <v>-803</v>
      </c>
      <c r="U155" s="732">
        <v>43579</v>
      </c>
      <c r="V155" s="739" t="s">
        <v>2272</v>
      </c>
      <c r="W155" s="751"/>
      <c r="X155" s="735"/>
      <c r="Y155" s="735"/>
      <c r="Z155" s="735"/>
      <c r="AA155" s="735"/>
      <c r="AB155" s="735"/>
      <c r="AC155" s="740">
        <v>43532</v>
      </c>
      <c r="AD155" s="736">
        <v>43215</v>
      </c>
      <c r="AE155" s="737">
        <f t="shared" ca="1" si="7"/>
        <v>-1025</v>
      </c>
      <c r="AF155" s="649" t="s">
        <v>2343</v>
      </c>
    </row>
    <row r="156" spans="1:32" s="745" customFormat="1" ht="38.25" x14ac:dyDescent="0.2">
      <c r="A156" s="742" t="s">
        <v>1756</v>
      </c>
      <c r="B156" s="649"/>
      <c r="C156" s="649" t="s">
        <v>1757</v>
      </c>
      <c r="D156" s="743" t="s">
        <v>1852</v>
      </c>
      <c r="E156" s="743" t="s">
        <v>1798</v>
      </c>
      <c r="F156" s="728" t="s">
        <v>314</v>
      </c>
      <c r="G156" s="729">
        <v>987.22</v>
      </c>
      <c r="H156" s="729">
        <v>0</v>
      </c>
      <c r="I156" s="729">
        <v>0</v>
      </c>
      <c r="J156" s="729">
        <v>475</v>
      </c>
      <c r="K156" s="729">
        <v>0</v>
      </c>
      <c r="L156" s="729">
        <v>0</v>
      </c>
      <c r="M156" s="729">
        <v>0</v>
      </c>
      <c r="N156" s="729">
        <v>0</v>
      </c>
      <c r="O156" s="729">
        <v>0</v>
      </c>
      <c r="P156" s="729">
        <v>0</v>
      </c>
      <c r="Q156" s="729">
        <v>0</v>
      </c>
      <c r="R156" s="729">
        <v>0</v>
      </c>
      <c r="S156" s="730">
        <f>SUM(G156:R156)</f>
        <v>1462.22</v>
      </c>
      <c r="T156" s="731">
        <f t="shared" ca="1" si="8"/>
        <v>-921</v>
      </c>
      <c r="U156" s="732">
        <v>43461</v>
      </c>
      <c r="V156" s="739" t="s">
        <v>2277</v>
      </c>
      <c r="W156" s="751"/>
      <c r="X156" s="735"/>
      <c r="Y156" s="735"/>
      <c r="Z156" s="735"/>
      <c r="AA156" s="735"/>
      <c r="AB156" s="735"/>
      <c r="AC156" s="740">
        <v>43433</v>
      </c>
      <c r="AD156" s="736">
        <v>42366</v>
      </c>
      <c r="AE156" s="737">
        <f t="shared" ref="AE156:AE166" ca="1" si="10">TODAY()-DATE(YEAR(AD156)+6,MONTH(AD156),DAY(AD156))</f>
        <v>-176</v>
      </c>
      <c r="AF156" s="649" t="s">
        <v>2343</v>
      </c>
    </row>
    <row r="157" spans="1:32" s="745" customFormat="1" ht="38.25" x14ac:dyDescent="0.2">
      <c r="A157" s="742" t="s">
        <v>2286</v>
      </c>
      <c r="B157" s="649"/>
      <c r="C157" s="649" t="s">
        <v>2289</v>
      </c>
      <c r="D157" s="743" t="s">
        <v>2464</v>
      </c>
      <c r="E157" s="743" t="s">
        <v>2388</v>
      </c>
      <c r="F157" s="728">
        <v>118783.72</v>
      </c>
      <c r="G157" s="729">
        <v>0</v>
      </c>
      <c r="H157" s="729">
        <v>9824.02</v>
      </c>
      <c r="I157" s="729">
        <f>9824.02+9824.02</f>
        <v>19648.04</v>
      </c>
      <c r="J157" s="729">
        <v>10798.52</v>
      </c>
      <c r="K157" s="729">
        <v>10798.52</v>
      </c>
      <c r="L157" s="729">
        <v>0</v>
      </c>
      <c r="M157" s="729">
        <v>10798.52</v>
      </c>
      <c r="N157" s="729">
        <f>10798.52+10798.52</f>
        <v>21597.040000000001</v>
      </c>
      <c r="O157" s="729">
        <v>10798.52</v>
      </c>
      <c r="P157" s="729">
        <v>0</v>
      </c>
      <c r="Q157" s="729">
        <f>10798.52+10798.52</f>
        <v>21597.040000000001</v>
      </c>
      <c r="R157" s="729">
        <v>0</v>
      </c>
      <c r="S157" s="730">
        <f t="shared" si="9"/>
        <v>115860.22</v>
      </c>
      <c r="T157" s="731">
        <f t="shared" ca="1" si="8"/>
        <v>-585</v>
      </c>
      <c r="U157" s="732">
        <v>43797</v>
      </c>
      <c r="V157" s="739" t="s">
        <v>2389</v>
      </c>
      <c r="W157" s="751" t="s">
        <v>2465</v>
      </c>
      <c r="X157" s="735"/>
      <c r="Y157" s="735"/>
      <c r="Z157" s="735"/>
      <c r="AA157" s="735"/>
      <c r="AB157" s="735"/>
      <c r="AC157" s="740">
        <v>43746</v>
      </c>
      <c r="AD157" s="736">
        <v>43436</v>
      </c>
      <c r="AE157" s="737">
        <f t="shared" ca="1" si="10"/>
        <v>-1246</v>
      </c>
      <c r="AF157" s="649" t="s">
        <v>2291</v>
      </c>
    </row>
    <row r="158" spans="1:32" s="745" customFormat="1" ht="25.5" x14ac:dyDescent="0.2">
      <c r="A158" s="742" t="s">
        <v>2296</v>
      </c>
      <c r="B158" s="649"/>
      <c r="C158" s="649" t="s">
        <v>2297</v>
      </c>
      <c r="D158" s="743" t="s">
        <v>2399</v>
      </c>
      <c r="E158" s="743" t="s">
        <v>2298</v>
      </c>
      <c r="F158" s="728">
        <v>80196</v>
      </c>
      <c r="G158" s="729">
        <v>0</v>
      </c>
      <c r="H158" s="729">
        <v>0</v>
      </c>
      <c r="I158" s="729">
        <v>0</v>
      </c>
      <c r="J158" s="729">
        <v>0</v>
      </c>
      <c r="K158" s="729">
        <v>0</v>
      </c>
      <c r="L158" s="729">
        <v>0</v>
      </c>
      <c r="M158" s="729">
        <v>0</v>
      </c>
      <c r="N158" s="729">
        <v>0</v>
      </c>
      <c r="O158" s="729">
        <v>0</v>
      </c>
      <c r="P158" s="729">
        <v>0</v>
      </c>
      <c r="Q158" s="729">
        <v>0</v>
      </c>
      <c r="R158" s="729">
        <v>0</v>
      </c>
      <c r="S158" s="730">
        <f t="shared" si="9"/>
        <v>0</v>
      </c>
      <c r="T158" s="749">
        <f t="shared" ca="1" si="8"/>
        <v>-439</v>
      </c>
      <c r="U158" s="732">
        <v>43943</v>
      </c>
      <c r="V158" s="733" t="s">
        <v>2299</v>
      </c>
      <c r="W158" s="751"/>
      <c r="X158" s="735"/>
      <c r="Y158" s="735"/>
      <c r="Z158" s="735"/>
      <c r="AA158" s="735"/>
      <c r="AB158" s="735"/>
      <c r="AC158" s="740"/>
      <c r="AD158" s="736">
        <v>43578</v>
      </c>
      <c r="AE158" s="750">
        <f t="shared" ca="1" si="10"/>
        <v>-1388</v>
      </c>
      <c r="AF158" s="649"/>
    </row>
    <row r="159" spans="1:32" s="745" customFormat="1" ht="38.25" x14ac:dyDescent="0.2">
      <c r="A159" s="649" t="s">
        <v>2300</v>
      </c>
      <c r="B159" s="747"/>
      <c r="C159" s="649" t="s">
        <v>2301</v>
      </c>
      <c r="D159" s="743" t="s">
        <v>2302</v>
      </c>
      <c r="E159" s="743" t="s">
        <v>1351</v>
      </c>
      <c r="F159" s="728">
        <v>240633.12</v>
      </c>
      <c r="G159" s="729">
        <v>13021.71</v>
      </c>
      <c r="H159" s="729">
        <v>13134.46</v>
      </c>
      <c r="I159" s="729">
        <v>12845.06</v>
      </c>
      <c r="J159" s="729">
        <v>10778.02</v>
      </c>
      <c r="K159" s="729">
        <v>10108.93</v>
      </c>
      <c r="L159" s="729">
        <v>6460.62</v>
      </c>
      <c r="M159" s="729">
        <v>6262.62</v>
      </c>
      <c r="N159" s="729">
        <v>5658.04</v>
      </c>
      <c r="O159" s="729">
        <f>4627.56+5779.39</f>
        <v>10406.950000000001</v>
      </c>
      <c r="P159" s="729">
        <v>0</v>
      </c>
      <c r="Q159" s="729">
        <v>0</v>
      </c>
      <c r="R159" s="729">
        <v>0</v>
      </c>
      <c r="S159" s="730">
        <f>SUM(G159:R159)</f>
        <v>88676.409999999989</v>
      </c>
      <c r="T159" s="731">
        <f t="shared" ca="1" si="8"/>
        <v>-655</v>
      </c>
      <c r="U159" s="732">
        <v>43727</v>
      </c>
      <c r="V159" s="739" t="s">
        <v>2303</v>
      </c>
      <c r="W159" s="751"/>
      <c r="X159" s="735"/>
      <c r="Y159" s="735"/>
      <c r="Z159" s="735"/>
      <c r="AA159" s="735"/>
      <c r="AB159" s="735"/>
      <c r="AC159" s="740">
        <v>43677</v>
      </c>
      <c r="AD159" s="736">
        <v>43363</v>
      </c>
      <c r="AE159" s="737">
        <f ca="1">TODAY()-DATE(YEAR(AD159)+6,MONTH(AD159),DAY(AD159))</f>
        <v>-1173</v>
      </c>
      <c r="AF159" s="649" t="s">
        <v>2307</v>
      </c>
    </row>
    <row r="160" spans="1:32" s="745" customFormat="1" ht="51" x14ac:dyDescent="0.2">
      <c r="A160" s="649" t="s">
        <v>2304</v>
      </c>
      <c r="B160" s="649" t="s">
        <v>1444</v>
      </c>
      <c r="C160" s="649" t="s">
        <v>2305</v>
      </c>
      <c r="D160" s="743" t="s">
        <v>2080</v>
      </c>
      <c r="E160" s="743" t="s">
        <v>1446</v>
      </c>
      <c r="F160" s="728">
        <v>31200</v>
      </c>
      <c r="G160" s="729">
        <v>2600</v>
      </c>
      <c r="H160" s="729">
        <v>2600</v>
      </c>
      <c r="I160" s="729">
        <v>2600</v>
      </c>
      <c r="J160" s="729">
        <v>2600</v>
      </c>
      <c r="K160" s="729">
        <v>2600</v>
      </c>
      <c r="L160" s="729">
        <v>2600</v>
      </c>
      <c r="M160" s="729">
        <v>2600</v>
      </c>
      <c r="N160" s="729">
        <v>2600</v>
      </c>
      <c r="O160" s="729">
        <v>2600</v>
      </c>
      <c r="P160" s="729">
        <v>2600</v>
      </c>
      <c r="Q160" s="729">
        <v>2600</v>
      </c>
      <c r="R160" s="729">
        <v>2600</v>
      </c>
      <c r="S160" s="730">
        <f t="shared" si="9"/>
        <v>31200</v>
      </c>
      <c r="T160" s="731">
        <f t="shared" ref="T160:T166" ca="1" si="11">U160-$AE$3</f>
        <v>-571</v>
      </c>
      <c r="U160" s="732">
        <v>43811</v>
      </c>
      <c r="V160" s="739" t="s">
        <v>2306</v>
      </c>
      <c r="W160" s="751" t="s">
        <v>2468</v>
      </c>
      <c r="X160" s="735"/>
      <c r="Y160" s="735"/>
      <c r="Z160" s="735"/>
      <c r="AA160" s="735"/>
      <c r="AB160" s="735"/>
      <c r="AC160" s="740">
        <v>43759</v>
      </c>
      <c r="AD160" s="736">
        <v>43447</v>
      </c>
      <c r="AE160" s="737">
        <f t="shared" ca="1" si="10"/>
        <v>-1257</v>
      </c>
      <c r="AF160" s="649" t="s">
        <v>2307</v>
      </c>
    </row>
    <row r="161" spans="1:32" s="745" customFormat="1" ht="25.5" x14ac:dyDescent="0.2">
      <c r="A161" s="742" t="s">
        <v>2308</v>
      </c>
      <c r="B161" s="649"/>
      <c r="C161" s="649" t="s">
        <v>2309</v>
      </c>
      <c r="D161" s="743" t="s">
        <v>2310</v>
      </c>
      <c r="E161" s="743" t="s">
        <v>2557</v>
      </c>
      <c r="F161" s="728">
        <v>33600</v>
      </c>
      <c r="G161" s="729">
        <v>0</v>
      </c>
      <c r="H161" s="729">
        <v>0</v>
      </c>
      <c r="I161" s="729">
        <v>0</v>
      </c>
      <c r="J161" s="729">
        <v>0</v>
      </c>
      <c r="K161" s="729">
        <v>0</v>
      </c>
      <c r="L161" s="729">
        <f>987.64+14.81</f>
        <v>1002.4499999999999</v>
      </c>
      <c r="M161" s="729">
        <f>2355.99+2675.26+40.74</f>
        <v>5071.99</v>
      </c>
      <c r="N161" s="729">
        <f>2361.46+2675.26+40.74</f>
        <v>5077.46</v>
      </c>
      <c r="O161" s="729">
        <f>2365.81+2675.26+40.74</f>
        <v>5081.8099999999995</v>
      </c>
      <c r="P161" s="729">
        <f>2374.09+2675.26+40.74</f>
        <v>5090.09</v>
      </c>
      <c r="Q161" s="729">
        <f>2383.15+2675.26+40.74</f>
        <v>5099.1499999999996</v>
      </c>
      <c r="R161" s="729">
        <f>2384.99+2675.26+40.74</f>
        <v>5100.99</v>
      </c>
      <c r="S161" s="730">
        <f t="shared" si="9"/>
        <v>31523.939999999995</v>
      </c>
      <c r="T161" s="731">
        <f t="shared" ca="1" si="11"/>
        <v>-521</v>
      </c>
      <c r="U161" s="732">
        <v>43861</v>
      </c>
      <c r="V161" s="739" t="s">
        <v>2312</v>
      </c>
      <c r="W161" s="751" t="s">
        <v>2469</v>
      </c>
      <c r="X161" s="735"/>
      <c r="Y161" s="735"/>
      <c r="Z161" s="735"/>
      <c r="AA161" s="735"/>
      <c r="AB161" s="735"/>
      <c r="AC161" s="740">
        <v>43804</v>
      </c>
      <c r="AD161" s="736">
        <v>43497</v>
      </c>
      <c r="AE161" s="737">
        <f t="shared" ca="1" si="10"/>
        <v>-1307</v>
      </c>
      <c r="AF161" s="649" t="s">
        <v>2313</v>
      </c>
    </row>
    <row r="162" spans="1:32" s="745" customFormat="1" ht="36.75" customHeight="1" x14ac:dyDescent="0.2">
      <c r="A162" s="742" t="s">
        <v>2314</v>
      </c>
      <c r="B162" s="649"/>
      <c r="C162" s="649" t="s">
        <v>2315</v>
      </c>
      <c r="D162" s="743" t="s">
        <v>2316</v>
      </c>
      <c r="E162" s="743" t="s">
        <v>2317</v>
      </c>
      <c r="F162" s="728">
        <v>120499.92</v>
      </c>
      <c r="G162" s="729">
        <v>10041.66</v>
      </c>
      <c r="H162" s="729">
        <v>10041.66</v>
      </c>
      <c r="I162" s="729">
        <v>10041.66</v>
      </c>
      <c r="J162" s="729">
        <v>10041.66</v>
      </c>
      <c r="K162" s="729">
        <v>10787.34</v>
      </c>
      <c r="L162" s="729">
        <v>10914.48</v>
      </c>
      <c r="M162" s="729">
        <v>10041.66</v>
      </c>
      <c r="N162" s="729">
        <v>10160.9</v>
      </c>
      <c r="O162" s="729">
        <v>10493.28</v>
      </c>
      <c r="P162" s="729">
        <v>10322.049999999999</v>
      </c>
      <c r="Q162" s="729">
        <v>10209.08</v>
      </c>
      <c r="R162" s="729">
        <v>10209.08</v>
      </c>
      <c r="S162" s="730">
        <f t="shared" si="9"/>
        <v>123304.51</v>
      </c>
      <c r="T162" s="731">
        <f t="shared" ca="1" si="11"/>
        <v>-586</v>
      </c>
      <c r="U162" s="732">
        <v>43796</v>
      </c>
      <c r="V162" s="739" t="s">
        <v>2318</v>
      </c>
      <c r="W162" s="751" t="s">
        <v>2466</v>
      </c>
      <c r="X162" s="735"/>
      <c r="Y162" s="735"/>
      <c r="Z162" s="735"/>
      <c r="AA162" s="735"/>
      <c r="AB162" s="735"/>
      <c r="AC162" s="740"/>
      <c r="AD162" s="736">
        <v>43432</v>
      </c>
      <c r="AE162" s="737">
        <f t="shared" ca="1" si="10"/>
        <v>-1242</v>
      </c>
      <c r="AF162" s="649" t="s">
        <v>2379</v>
      </c>
    </row>
    <row r="163" spans="1:32" s="745" customFormat="1" ht="38.25" x14ac:dyDescent="0.2">
      <c r="A163" s="742" t="s">
        <v>2319</v>
      </c>
      <c r="B163" s="649"/>
      <c r="C163" s="649" t="s">
        <v>2320</v>
      </c>
      <c r="D163" s="743" t="s">
        <v>2321</v>
      </c>
      <c r="E163" s="743" t="s">
        <v>2322</v>
      </c>
      <c r="F163" s="728">
        <v>54785.04</v>
      </c>
      <c r="G163" s="729">
        <v>0</v>
      </c>
      <c r="H163" s="729">
        <v>1038.4000000000001</v>
      </c>
      <c r="I163" s="729">
        <v>4565.42</v>
      </c>
      <c r="J163" s="729">
        <v>4656.7299999999996</v>
      </c>
      <c r="K163" s="729">
        <v>4565.42</v>
      </c>
      <c r="L163" s="729">
        <v>4565.42</v>
      </c>
      <c r="M163" s="729">
        <v>4565.42</v>
      </c>
      <c r="N163" s="729">
        <v>4565.42</v>
      </c>
      <c r="O163" s="729">
        <v>4565.42</v>
      </c>
      <c r="P163" s="729">
        <v>4565.42</v>
      </c>
      <c r="Q163" s="729">
        <v>4565.42</v>
      </c>
      <c r="R163" s="729">
        <v>4565.42</v>
      </c>
      <c r="S163" s="730">
        <f t="shared" si="9"/>
        <v>46783.909999999989</v>
      </c>
      <c r="T163" s="731">
        <f t="shared" ca="1" si="11"/>
        <v>-539</v>
      </c>
      <c r="U163" s="732">
        <v>43843</v>
      </c>
      <c r="V163" s="739" t="s">
        <v>2323</v>
      </c>
      <c r="W163" s="751" t="s">
        <v>2469</v>
      </c>
      <c r="X163" s="735"/>
      <c r="Y163" s="735"/>
      <c r="Z163" s="735"/>
      <c r="AA163" s="735"/>
      <c r="AB163" s="735"/>
      <c r="AC163" s="740">
        <v>43804</v>
      </c>
      <c r="AD163" s="736">
        <v>43479</v>
      </c>
      <c r="AE163" s="737">
        <f t="shared" ca="1" si="10"/>
        <v>-1289</v>
      </c>
      <c r="AF163" s="649" t="s">
        <v>2291</v>
      </c>
    </row>
    <row r="164" spans="1:32" s="745" customFormat="1" ht="76.5" x14ac:dyDescent="0.2">
      <c r="A164" s="742" t="s">
        <v>2324</v>
      </c>
      <c r="B164" s="649"/>
      <c r="C164" s="649" t="s">
        <v>2325</v>
      </c>
      <c r="D164" s="743" t="s">
        <v>2326</v>
      </c>
      <c r="E164" s="743" t="s">
        <v>1984</v>
      </c>
      <c r="F164" s="728">
        <v>214158.58</v>
      </c>
      <c r="G164" s="729">
        <v>13430.73</v>
      </c>
      <c r="H164" s="729">
        <v>13725.01</v>
      </c>
      <c r="I164" s="729">
        <v>11744.65</v>
      </c>
      <c r="J164" s="729">
        <v>10483.209999999999</v>
      </c>
      <c r="K164" s="729">
        <v>14365.67</v>
      </c>
      <c r="L164" s="729">
        <v>14462.3</v>
      </c>
      <c r="M164" s="729">
        <v>12000.41</v>
      </c>
      <c r="N164" s="729">
        <v>14605.68</v>
      </c>
      <c r="O164" s="729">
        <v>19173.79</v>
      </c>
      <c r="P164" s="729">
        <v>21091.9</v>
      </c>
      <c r="Q164" s="729">
        <f>26542.3+300</f>
        <v>26842.3</v>
      </c>
      <c r="R164" s="729">
        <v>22055.91</v>
      </c>
      <c r="S164" s="730">
        <f t="shared" si="9"/>
        <v>193981.56</v>
      </c>
      <c r="T164" s="749">
        <f t="shared" ca="1" si="11"/>
        <v>-473</v>
      </c>
      <c r="U164" s="732">
        <v>43909</v>
      </c>
      <c r="V164" s="733" t="s">
        <v>2327</v>
      </c>
      <c r="W164" s="751"/>
      <c r="X164" s="735"/>
      <c r="Y164" s="735"/>
      <c r="Z164" s="735"/>
      <c r="AA164" s="735"/>
      <c r="AB164" s="735"/>
      <c r="AC164" s="740"/>
      <c r="AD164" s="736">
        <v>43544</v>
      </c>
      <c r="AE164" s="750">
        <f t="shared" ca="1" si="10"/>
        <v>-1354</v>
      </c>
      <c r="AF164" s="649"/>
    </row>
    <row r="165" spans="1:32" s="745" customFormat="1" ht="51" x14ac:dyDescent="0.2">
      <c r="A165" s="742" t="s">
        <v>2328</v>
      </c>
      <c r="B165" s="649"/>
      <c r="C165" s="649" t="s">
        <v>2301</v>
      </c>
      <c r="D165" s="743" t="s">
        <v>2329</v>
      </c>
      <c r="E165" s="743" t="s">
        <v>2330</v>
      </c>
      <c r="F165" s="728">
        <v>22800</v>
      </c>
      <c r="G165" s="729">
        <v>0</v>
      </c>
      <c r="H165" s="729">
        <v>0</v>
      </c>
      <c r="I165" s="729">
        <v>0</v>
      </c>
      <c r="J165" s="729">
        <f>784+736+980+920</f>
        <v>3420</v>
      </c>
      <c r="K165" s="729">
        <f>920+980</f>
        <v>1900</v>
      </c>
      <c r="L165" s="729">
        <f>920+980</f>
        <v>1900</v>
      </c>
      <c r="M165" s="729">
        <f>920+980</f>
        <v>1900</v>
      </c>
      <c r="N165" s="729">
        <v>0</v>
      </c>
      <c r="O165" s="729">
        <f>920+980+920+980</f>
        <v>3800</v>
      </c>
      <c r="P165" s="729">
        <f>920+980</f>
        <v>1900</v>
      </c>
      <c r="Q165" s="729">
        <f>920+980</f>
        <v>1900</v>
      </c>
      <c r="R165" s="839">
        <f>920+980</f>
        <v>1900</v>
      </c>
      <c r="S165" s="730">
        <f t="shared" ref="S165:S193" si="12">SUM(G165:R165)</f>
        <v>18620</v>
      </c>
      <c r="T165" s="731">
        <f t="shared" ca="1" si="11"/>
        <v>-522</v>
      </c>
      <c r="U165" s="732">
        <v>43860</v>
      </c>
      <c r="V165" s="739" t="s">
        <v>2331</v>
      </c>
      <c r="W165" s="751" t="s">
        <v>2469</v>
      </c>
      <c r="X165" s="735"/>
      <c r="Y165" s="735"/>
      <c r="Z165" s="735"/>
      <c r="AA165" s="735"/>
      <c r="AB165" s="735"/>
      <c r="AC165" s="740">
        <v>43804</v>
      </c>
      <c r="AD165" s="736">
        <v>43496</v>
      </c>
      <c r="AE165" s="737">
        <f t="shared" ca="1" si="10"/>
        <v>-1306</v>
      </c>
      <c r="AF165" s="649" t="s">
        <v>2379</v>
      </c>
    </row>
    <row r="166" spans="1:32" s="745" customFormat="1" ht="38.25" x14ac:dyDescent="0.2">
      <c r="A166" s="742" t="s">
        <v>2332</v>
      </c>
      <c r="B166" s="649" t="s">
        <v>2333</v>
      </c>
      <c r="C166" s="649"/>
      <c r="D166" s="743" t="s">
        <v>2078</v>
      </c>
      <c r="E166" s="743" t="s">
        <v>2079</v>
      </c>
      <c r="F166" s="728">
        <v>9600</v>
      </c>
      <c r="G166" s="729">
        <v>0</v>
      </c>
      <c r="H166" s="729">
        <v>0</v>
      </c>
      <c r="I166" s="729">
        <v>800</v>
      </c>
      <c r="J166" s="729">
        <v>800</v>
      </c>
      <c r="K166" s="729">
        <v>800</v>
      </c>
      <c r="L166" s="729">
        <v>800</v>
      </c>
      <c r="M166" s="729">
        <v>800</v>
      </c>
      <c r="N166" s="729">
        <f>800+600</f>
        <v>1400</v>
      </c>
      <c r="O166" s="729">
        <v>800</v>
      </c>
      <c r="P166" s="729">
        <v>800</v>
      </c>
      <c r="Q166" s="729">
        <v>800</v>
      </c>
      <c r="R166" s="729">
        <v>800</v>
      </c>
      <c r="S166" s="730">
        <f t="shared" si="12"/>
        <v>8600</v>
      </c>
      <c r="T166" s="731">
        <f t="shared" ca="1" si="11"/>
        <v>-521</v>
      </c>
      <c r="U166" s="732">
        <v>43861</v>
      </c>
      <c r="V166" s="739" t="s">
        <v>2312</v>
      </c>
      <c r="W166" s="751" t="s">
        <v>2469</v>
      </c>
      <c r="X166" s="735"/>
      <c r="Y166" s="735"/>
      <c r="Z166" s="735"/>
      <c r="AA166" s="735"/>
      <c r="AB166" s="735"/>
      <c r="AC166" s="740">
        <v>43804</v>
      </c>
      <c r="AD166" s="736">
        <v>43497</v>
      </c>
      <c r="AE166" s="737">
        <f t="shared" ca="1" si="10"/>
        <v>-1307</v>
      </c>
      <c r="AF166" s="649" t="s">
        <v>2291</v>
      </c>
    </row>
    <row r="167" spans="1:32" s="745" customFormat="1" ht="63.75" x14ac:dyDescent="0.2">
      <c r="A167" s="742" t="s">
        <v>2334</v>
      </c>
      <c r="B167" s="649"/>
      <c r="C167" s="649"/>
      <c r="D167" s="743" t="s">
        <v>2293</v>
      </c>
      <c r="E167" s="743" t="s">
        <v>2335</v>
      </c>
      <c r="F167" s="728">
        <v>29289.87</v>
      </c>
      <c r="G167" s="729">
        <v>4164.12</v>
      </c>
      <c r="H167" s="729">
        <f>4610.58+4119.47</f>
        <v>8730.0499999999993</v>
      </c>
      <c r="I167" s="729">
        <v>1552.5</v>
      </c>
      <c r="J167" s="729">
        <v>761.45</v>
      </c>
      <c r="K167" s="729">
        <v>893.21</v>
      </c>
      <c r="L167" s="729">
        <f>4476.09+1066.71</f>
        <v>5542.8</v>
      </c>
      <c r="M167" s="729">
        <v>0</v>
      </c>
      <c r="N167" s="729">
        <v>1003.33</v>
      </c>
      <c r="O167" s="729">
        <v>1027.51</v>
      </c>
      <c r="P167" s="729">
        <v>1030.52</v>
      </c>
      <c r="Q167" s="729">
        <v>1070.73</v>
      </c>
      <c r="R167" s="729">
        <v>1066.6400000000001</v>
      </c>
      <c r="S167" s="730">
        <f t="shared" si="12"/>
        <v>26842.859999999997</v>
      </c>
      <c r="T167" s="731">
        <f t="shared" ref="T167:T207" ca="1" si="13">U167-$AE$3</f>
        <v>-516</v>
      </c>
      <c r="U167" s="732">
        <v>43866</v>
      </c>
      <c r="V167" s="739" t="s">
        <v>2336</v>
      </c>
      <c r="W167" s="751" t="s">
        <v>2469</v>
      </c>
      <c r="X167" s="735"/>
      <c r="Y167" s="735"/>
      <c r="Z167" s="735"/>
      <c r="AA167" s="735"/>
      <c r="AB167" s="735"/>
      <c r="AC167" s="740">
        <v>43804</v>
      </c>
      <c r="AD167" s="736">
        <v>43502</v>
      </c>
      <c r="AE167" s="737">
        <f t="shared" ref="AE167:AE207" ca="1" si="14">TODAY()-DATE(YEAR(AD167)+6,MONTH(AD167),DAY(AD167))</f>
        <v>-1312</v>
      </c>
      <c r="AF167" s="649" t="s">
        <v>2291</v>
      </c>
    </row>
    <row r="168" spans="1:32" s="745" customFormat="1" ht="25.5" x14ac:dyDescent="0.2">
      <c r="A168" s="742" t="s">
        <v>2150</v>
      </c>
      <c r="B168" s="649" t="s">
        <v>2337</v>
      </c>
      <c r="C168" s="649"/>
      <c r="D168" s="743" t="s">
        <v>2338</v>
      </c>
      <c r="E168" s="743" t="s">
        <v>2339</v>
      </c>
      <c r="F168" s="728">
        <v>0</v>
      </c>
      <c r="G168" s="729">
        <v>0</v>
      </c>
      <c r="H168" s="729">
        <v>0</v>
      </c>
      <c r="I168" s="729">
        <v>0</v>
      </c>
      <c r="J168" s="729">
        <v>0</v>
      </c>
      <c r="K168" s="729">
        <v>0</v>
      </c>
      <c r="L168" s="729">
        <v>0</v>
      </c>
      <c r="M168" s="729">
        <v>0</v>
      </c>
      <c r="N168" s="729">
        <v>0</v>
      </c>
      <c r="O168" s="729">
        <v>0</v>
      </c>
      <c r="P168" s="729">
        <v>0</v>
      </c>
      <c r="Q168" s="729">
        <v>0</v>
      </c>
      <c r="R168" s="729">
        <v>0</v>
      </c>
      <c r="S168" s="730">
        <f t="shared" si="12"/>
        <v>0</v>
      </c>
      <c r="T168" s="749">
        <f t="shared" ca="1" si="13"/>
        <v>23</v>
      </c>
      <c r="U168" s="732">
        <v>44405</v>
      </c>
      <c r="V168" s="733" t="s">
        <v>2340</v>
      </c>
      <c r="W168" s="751"/>
      <c r="X168" s="735"/>
      <c r="Y168" s="735"/>
      <c r="Z168" s="735"/>
      <c r="AA168" s="735"/>
      <c r="AB168" s="735"/>
      <c r="AC168" s="740"/>
      <c r="AD168" s="736">
        <v>43494</v>
      </c>
      <c r="AE168" s="750">
        <f t="shared" ca="1" si="14"/>
        <v>-1304</v>
      </c>
      <c r="AF168" s="649" t="s">
        <v>2343</v>
      </c>
    </row>
    <row r="169" spans="1:32" s="745" customFormat="1" ht="25.5" x14ac:dyDescent="0.2">
      <c r="A169" s="742" t="s">
        <v>2150</v>
      </c>
      <c r="B169" s="649" t="s">
        <v>2337</v>
      </c>
      <c r="C169" s="649"/>
      <c r="D169" s="743" t="s">
        <v>2341</v>
      </c>
      <c r="E169" s="743" t="s">
        <v>2339</v>
      </c>
      <c r="F169" s="728">
        <v>0</v>
      </c>
      <c r="G169" s="729">
        <v>0</v>
      </c>
      <c r="H169" s="729">
        <v>0</v>
      </c>
      <c r="I169" s="729">
        <v>0</v>
      </c>
      <c r="J169" s="729">
        <v>0</v>
      </c>
      <c r="K169" s="729">
        <v>0</v>
      </c>
      <c r="L169" s="729">
        <v>0</v>
      </c>
      <c r="M169" s="729">
        <v>0</v>
      </c>
      <c r="N169" s="729">
        <v>0</v>
      </c>
      <c r="O169" s="729">
        <v>0</v>
      </c>
      <c r="P169" s="729">
        <v>0</v>
      </c>
      <c r="Q169" s="729">
        <v>0</v>
      </c>
      <c r="R169" s="729">
        <v>0</v>
      </c>
      <c r="S169" s="730">
        <f t="shared" si="12"/>
        <v>0</v>
      </c>
      <c r="T169" s="749">
        <f t="shared" ca="1" si="13"/>
        <v>24</v>
      </c>
      <c r="U169" s="732">
        <v>44406</v>
      </c>
      <c r="V169" s="733" t="s">
        <v>2342</v>
      </c>
      <c r="W169" s="751"/>
      <c r="X169" s="735"/>
      <c r="Y169" s="735"/>
      <c r="Z169" s="735"/>
      <c r="AA169" s="735"/>
      <c r="AB169" s="735"/>
      <c r="AC169" s="740"/>
      <c r="AD169" s="736">
        <v>43495</v>
      </c>
      <c r="AE169" s="750">
        <f t="shared" ca="1" si="14"/>
        <v>-1305</v>
      </c>
      <c r="AF169" s="649" t="s">
        <v>2343</v>
      </c>
    </row>
    <row r="170" spans="1:32" s="745" customFormat="1" ht="25.5" x14ac:dyDescent="0.2">
      <c r="A170" s="742" t="s">
        <v>2150</v>
      </c>
      <c r="B170" s="649" t="s">
        <v>2337</v>
      </c>
      <c r="C170" s="649"/>
      <c r="D170" s="743" t="s">
        <v>2344</v>
      </c>
      <c r="E170" s="743" t="s">
        <v>2339</v>
      </c>
      <c r="F170" s="728">
        <v>0</v>
      </c>
      <c r="G170" s="729">
        <v>0</v>
      </c>
      <c r="H170" s="729">
        <v>0</v>
      </c>
      <c r="I170" s="729">
        <v>0</v>
      </c>
      <c r="J170" s="729">
        <v>0</v>
      </c>
      <c r="K170" s="729">
        <v>0</v>
      </c>
      <c r="L170" s="729">
        <v>0</v>
      </c>
      <c r="M170" s="729">
        <v>0</v>
      </c>
      <c r="N170" s="729">
        <v>0</v>
      </c>
      <c r="O170" s="729">
        <v>0</v>
      </c>
      <c r="P170" s="729">
        <v>0</v>
      </c>
      <c r="Q170" s="729">
        <v>0</v>
      </c>
      <c r="R170" s="729">
        <v>0</v>
      </c>
      <c r="S170" s="730">
        <f t="shared" si="12"/>
        <v>0</v>
      </c>
      <c r="T170" s="749">
        <f t="shared" ca="1" si="13"/>
        <v>33</v>
      </c>
      <c r="U170" s="732">
        <v>44415</v>
      </c>
      <c r="V170" s="733" t="s">
        <v>2345</v>
      </c>
      <c r="W170" s="751"/>
      <c r="X170" s="735"/>
      <c r="Y170" s="735"/>
      <c r="Z170" s="735"/>
      <c r="AA170" s="735"/>
      <c r="AB170" s="735"/>
      <c r="AC170" s="740"/>
      <c r="AD170" s="736">
        <v>43504</v>
      </c>
      <c r="AE170" s="750">
        <f t="shared" ca="1" si="14"/>
        <v>-1314</v>
      </c>
      <c r="AF170" s="649" t="s">
        <v>2343</v>
      </c>
    </row>
    <row r="171" spans="1:32" s="745" customFormat="1" ht="25.5" x14ac:dyDescent="0.2">
      <c r="A171" s="742" t="s">
        <v>2150</v>
      </c>
      <c r="B171" s="649" t="s">
        <v>2337</v>
      </c>
      <c r="C171" s="649"/>
      <c r="D171" s="743" t="s">
        <v>2351</v>
      </c>
      <c r="E171" s="743" t="s">
        <v>2339</v>
      </c>
      <c r="F171" s="728">
        <v>0</v>
      </c>
      <c r="G171" s="729">
        <v>0</v>
      </c>
      <c r="H171" s="729">
        <v>0</v>
      </c>
      <c r="I171" s="729">
        <v>0</v>
      </c>
      <c r="J171" s="729">
        <v>0</v>
      </c>
      <c r="K171" s="729">
        <v>0</v>
      </c>
      <c r="L171" s="729">
        <v>0</v>
      </c>
      <c r="M171" s="729">
        <v>0</v>
      </c>
      <c r="N171" s="729">
        <v>0</v>
      </c>
      <c r="O171" s="729">
        <v>0</v>
      </c>
      <c r="P171" s="729">
        <v>0</v>
      </c>
      <c r="Q171" s="729">
        <v>0</v>
      </c>
      <c r="R171" s="729">
        <v>0</v>
      </c>
      <c r="S171" s="730">
        <f t="shared" si="12"/>
        <v>0</v>
      </c>
      <c r="T171" s="749">
        <f t="shared" ca="1" si="13"/>
        <v>40</v>
      </c>
      <c r="U171" s="732">
        <v>44422</v>
      </c>
      <c r="V171" s="733" t="s">
        <v>2346</v>
      </c>
      <c r="W171" s="751"/>
      <c r="X171" s="735"/>
      <c r="Y171" s="735"/>
      <c r="Z171" s="735"/>
      <c r="AA171" s="735"/>
      <c r="AB171" s="735"/>
      <c r="AC171" s="740"/>
      <c r="AD171" s="736">
        <v>43511</v>
      </c>
      <c r="AE171" s="750">
        <f t="shared" ca="1" si="14"/>
        <v>-1321</v>
      </c>
      <c r="AF171" s="649" t="s">
        <v>2343</v>
      </c>
    </row>
    <row r="172" spans="1:32" s="745" customFormat="1" ht="25.5" x14ac:dyDescent="0.2">
      <c r="A172" s="742" t="s">
        <v>2150</v>
      </c>
      <c r="B172" s="649" t="s">
        <v>2337</v>
      </c>
      <c r="C172" s="649"/>
      <c r="D172" s="743" t="s">
        <v>2347</v>
      </c>
      <c r="E172" s="743" t="s">
        <v>2339</v>
      </c>
      <c r="F172" s="728">
        <v>0</v>
      </c>
      <c r="G172" s="729">
        <v>0</v>
      </c>
      <c r="H172" s="729">
        <v>0</v>
      </c>
      <c r="I172" s="729">
        <v>0</v>
      </c>
      <c r="J172" s="729">
        <v>0</v>
      </c>
      <c r="K172" s="729">
        <v>0</v>
      </c>
      <c r="L172" s="729">
        <v>0</v>
      </c>
      <c r="M172" s="729">
        <v>0</v>
      </c>
      <c r="N172" s="729">
        <v>0</v>
      </c>
      <c r="O172" s="729">
        <v>0</v>
      </c>
      <c r="P172" s="729">
        <v>0</v>
      </c>
      <c r="Q172" s="729">
        <v>0</v>
      </c>
      <c r="R172" s="729">
        <v>0</v>
      </c>
      <c r="S172" s="730">
        <f t="shared" si="12"/>
        <v>0</v>
      </c>
      <c r="T172" s="749">
        <f t="shared" ca="1" si="13"/>
        <v>29</v>
      </c>
      <c r="U172" s="732">
        <v>44411</v>
      </c>
      <c r="V172" s="733" t="s">
        <v>2348</v>
      </c>
      <c r="W172" s="751"/>
      <c r="X172" s="735"/>
      <c r="Y172" s="735"/>
      <c r="Z172" s="735"/>
      <c r="AA172" s="735"/>
      <c r="AB172" s="735"/>
      <c r="AC172" s="740"/>
      <c r="AD172" s="736">
        <v>43500</v>
      </c>
      <c r="AE172" s="750">
        <f t="shared" ca="1" si="14"/>
        <v>-1310</v>
      </c>
      <c r="AF172" s="649" t="s">
        <v>2343</v>
      </c>
    </row>
    <row r="173" spans="1:32" s="745" customFormat="1" ht="25.5" x14ac:dyDescent="0.2">
      <c r="A173" s="742" t="s">
        <v>2150</v>
      </c>
      <c r="B173" s="649" t="s">
        <v>2337</v>
      </c>
      <c r="C173" s="649"/>
      <c r="D173" s="743" t="s">
        <v>2349</v>
      </c>
      <c r="E173" s="743" t="s">
        <v>2339</v>
      </c>
      <c r="F173" s="728">
        <v>0</v>
      </c>
      <c r="G173" s="729">
        <v>0</v>
      </c>
      <c r="H173" s="729">
        <v>0</v>
      </c>
      <c r="I173" s="729">
        <v>0</v>
      </c>
      <c r="J173" s="729">
        <v>0</v>
      </c>
      <c r="K173" s="729">
        <v>0</v>
      </c>
      <c r="L173" s="729">
        <v>0</v>
      </c>
      <c r="M173" s="729">
        <v>0</v>
      </c>
      <c r="N173" s="729">
        <v>0</v>
      </c>
      <c r="O173" s="729">
        <v>0</v>
      </c>
      <c r="P173" s="729">
        <v>0</v>
      </c>
      <c r="Q173" s="729">
        <v>0</v>
      </c>
      <c r="R173" s="729">
        <v>0</v>
      </c>
      <c r="S173" s="730">
        <f t="shared" si="12"/>
        <v>0</v>
      </c>
      <c r="T173" s="749">
        <f t="shared" ca="1" si="13"/>
        <v>40</v>
      </c>
      <c r="U173" s="732">
        <v>44422</v>
      </c>
      <c r="V173" s="733" t="s">
        <v>2346</v>
      </c>
      <c r="W173" s="751"/>
      <c r="X173" s="735"/>
      <c r="Y173" s="735"/>
      <c r="Z173" s="735"/>
      <c r="AA173" s="735"/>
      <c r="AB173" s="735"/>
      <c r="AC173" s="740"/>
      <c r="AD173" s="736">
        <v>43511</v>
      </c>
      <c r="AE173" s="750">
        <f t="shared" ca="1" si="14"/>
        <v>-1321</v>
      </c>
      <c r="AF173" s="649" t="s">
        <v>2343</v>
      </c>
    </row>
    <row r="174" spans="1:32" s="745" customFormat="1" ht="25.5" x14ac:dyDescent="0.2">
      <c r="A174" s="742" t="s">
        <v>2150</v>
      </c>
      <c r="B174" s="649" t="s">
        <v>2337</v>
      </c>
      <c r="C174" s="649"/>
      <c r="D174" s="743" t="s">
        <v>2350</v>
      </c>
      <c r="E174" s="743" t="s">
        <v>2339</v>
      </c>
      <c r="F174" s="728">
        <v>0</v>
      </c>
      <c r="G174" s="729">
        <v>0</v>
      </c>
      <c r="H174" s="729">
        <v>0</v>
      </c>
      <c r="I174" s="729">
        <v>0</v>
      </c>
      <c r="J174" s="729">
        <v>0</v>
      </c>
      <c r="K174" s="729">
        <v>0</v>
      </c>
      <c r="L174" s="729">
        <v>0</v>
      </c>
      <c r="M174" s="729">
        <v>0</v>
      </c>
      <c r="N174" s="729">
        <v>0</v>
      </c>
      <c r="O174" s="729">
        <v>0</v>
      </c>
      <c r="P174" s="729">
        <v>0</v>
      </c>
      <c r="Q174" s="729">
        <v>185.16</v>
      </c>
      <c r="R174" s="729">
        <v>0</v>
      </c>
      <c r="S174" s="730">
        <f t="shared" si="12"/>
        <v>185.16</v>
      </c>
      <c r="T174" s="749">
        <f t="shared" ca="1" si="13"/>
        <v>29</v>
      </c>
      <c r="U174" s="732">
        <v>44411</v>
      </c>
      <c r="V174" s="733" t="s">
        <v>2348</v>
      </c>
      <c r="W174" s="751"/>
      <c r="X174" s="735"/>
      <c r="Y174" s="735"/>
      <c r="Z174" s="735"/>
      <c r="AA174" s="735"/>
      <c r="AB174" s="735"/>
      <c r="AC174" s="740"/>
      <c r="AD174" s="736">
        <v>43500</v>
      </c>
      <c r="AE174" s="750">
        <f t="shared" ca="1" si="14"/>
        <v>-1310</v>
      </c>
      <c r="AF174" s="649" t="s">
        <v>2343</v>
      </c>
    </row>
    <row r="175" spans="1:32" s="745" customFormat="1" ht="63.75" x14ac:dyDescent="0.2">
      <c r="A175" s="742" t="s">
        <v>2352</v>
      </c>
      <c r="B175" s="649" t="s">
        <v>1840</v>
      </c>
      <c r="C175" s="649"/>
      <c r="D175" s="743" t="s">
        <v>2353</v>
      </c>
      <c r="E175" s="743" t="s">
        <v>2354</v>
      </c>
      <c r="F175" s="728">
        <v>16785.3</v>
      </c>
      <c r="G175" s="729">
        <v>0</v>
      </c>
      <c r="H175" s="729">
        <f>7000+9785.3</f>
        <v>16785.3</v>
      </c>
      <c r="I175" s="729">
        <v>0</v>
      </c>
      <c r="J175" s="729">
        <v>0</v>
      </c>
      <c r="K175" s="729">
        <v>0</v>
      </c>
      <c r="L175" s="729">
        <v>0</v>
      </c>
      <c r="M175" s="729">
        <v>0</v>
      </c>
      <c r="N175" s="729">
        <v>0</v>
      </c>
      <c r="O175" s="729">
        <v>0</v>
      </c>
      <c r="P175" s="729">
        <v>0</v>
      </c>
      <c r="Q175" s="729">
        <v>0</v>
      </c>
      <c r="R175" s="729">
        <v>0</v>
      </c>
      <c r="S175" s="730">
        <f t="shared" si="12"/>
        <v>16785.3</v>
      </c>
      <c r="T175" s="749">
        <f t="shared" ca="1" si="13"/>
        <v>-850</v>
      </c>
      <c r="U175" s="732">
        <v>43532</v>
      </c>
      <c r="V175" s="733" t="s">
        <v>2355</v>
      </c>
      <c r="W175" s="751" t="s">
        <v>2363</v>
      </c>
      <c r="X175" s="735"/>
      <c r="Y175" s="735"/>
      <c r="Z175" s="735"/>
      <c r="AA175" s="735"/>
      <c r="AB175" s="735"/>
      <c r="AC175" s="740"/>
      <c r="AD175" s="736">
        <v>43532</v>
      </c>
      <c r="AE175" s="750">
        <f t="shared" ca="1" si="14"/>
        <v>-1342</v>
      </c>
      <c r="AF175" s="649" t="s">
        <v>2291</v>
      </c>
    </row>
    <row r="176" spans="1:32" s="745" customFormat="1" ht="25.5" x14ac:dyDescent="0.2">
      <c r="A176" s="742" t="s">
        <v>2150</v>
      </c>
      <c r="B176" s="649" t="s">
        <v>2337</v>
      </c>
      <c r="C176" s="649"/>
      <c r="D176" s="743" t="s">
        <v>2356</v>
      </c>
      <c r="E176" s="743" t="s">
        <v>2339</v>
      </c>
      <c r="F176" s="728">
        <v>0</v>
      </c>
      <c r="G176" s="729">
        <v>0</v>
      </c>
      <c r="H176" s="729">
        <v>0</v>
      </c>
      <c r="I176" s="729">
        <v>0</v>
      </c>
      <c r="J176" s="729">
        <v>0</v>
      </c>
      <c r="K176" s="729">
        <v>0</v>
      </c>
      <c r="L176" s="729">
        <v>0</v>
      </c>
      <c r="M176" s="729">
        <v>0</v>
      </c>
      <c r="N176" s="729">
        <v>0</v>
      </c>
      <c r="O176" s="729">
        <v>0</v>
      </c>
      <c r="P176" s="729">
        <v>0</v>
      </c>
      <c r="Q176" s="729">
        <v>0</v>
      </c>
      <c r="R176" s="729">
        <v>0</v>
      </c>
      <c r="S176" s="730">
        <f t="shared" si="12"/>
        <v>0</v>
      </c>
      <c r="T176" s="749">
        <f t="shared" ca="1" si="13"/>
        <v>57</v>
      </c>
      <c r="U176" s="732">
        <v>44439</v>
      </c>
      <c r="V176" s="733" t="s">
        <v>2357</v>
      </c>
      <c r="W176" s="751"/>
      <c r="X176" s="735"/>
      <c r="Y176" s="735"/>
      <c r="Z176" s="735"/>
      <c r="AA176" s="735"/>
      <c r="AB176" s="735"/>
      <c r="AC176" s="740"/>
      <c r="AD176" s="736">
        <v>43525</v>
      </c>
      <c r="AE176" s="750">
        <f t="shared" ca="1" si="14"/>
        <v>-1335</v>
      </c>
      <c r="AF176" s="649" t="s">
        <v>2343</v>
      </c>
    </row>
    <row r="177" spans="1:32" s="745" customFormat="1" ht="51" x14ac:dyDescent="0.2">
      <c r="A177" s="742" t="s">
        <v>2358</v>
      </c>
      <c r="B177" s="649"/>
      <c r="C177" s="649" t="s">
        <v>2359</v>
      </c>
      <c r="D177" s="743" t="s">
        <v>2360</v>
      </c>
      <c r="E177" s="743" t="s">
        <v>2361</v>
      </c>
      <c r="F177" s="728">
        <v>18940</v>
      </c>
      <c r="G177" s="729">
        <v>0</v>
      </c>
      <c r="H177" s="729">
        <v>0</v>
      </c>
      <c r="I177" s="729">
        <v>0</v>
      </c>
      <c r="J177" s="729">
        <v>0</v>
      </c>
      <c r="K177" s="729">
        <v>0</v>
      </c>
      <c r="L177" s="729">
        <v>0</v>
      </c>
      <c r="M177" s="729">
        <v>0</v>
      </c>
      <c r="N177" s="729">
        <f>1578+6312</f>
        <v>7890</v>
      </c>
      <c r="O177" s="729">
        <v>1578</v>
      </c>
      <c r="P177" s="729">
        <v>0</v>
      </c>
      <c r="Q177" s="729">
        <v>0</v>
      </c>
      <c r="R177" s="729">
        <v>0</v>
      </c>
      <c r="S177" s="730">
        <f t="shared" si="12"/>
        <v>9468</v>
      </c>
      <c r="T177" s="749">
        <f t="shared" ca="1" si="13"/>
        <v>-494</v>
      </c>
      <c r="U177" s="732">
        <v>43888</v>
      </c>
      <c r="V177" s="733" t="s">
        <v>2362</v>
      </c>
      <c r="W177" s="751"/>
      <c r="X177" s="735"/>
      <c r="Y177" s="735"/>
      <c r="Z177" s="735"/>
      <c r="AA177" s="735"/>
      <c r="AB177" s="735"/>
      <c r="AC177" s="740"/>
      <c r="AD177" s="736">
        <v>43524</v>
      </c>
      <c r="AE177" s="750">
        <f t="shared" ca="1" si="14"/>
        <v>-1334</v>
      </c>
      <c r="AF177" s="649" t="s">
        <v>2313</v>
      </c>
    </row>
    <row r="178" spans="1:32" s="745" customFormat="1" ht="51" x14ac:dyDescent="0.2">
      <c r="A178" s="742" t="s">
        <v>2364</v>
      </c>
      <c r="B178" s="649"/>
      <c r="C178" s="649"/>
      <c r="D178" s="743" t="s">
        <v>2367</v>
      </c>
      <c r="E178" s="743" t="s">
        <v>2365</v>
      </c>
      <c r="F178" s="728">
        <v>175000</v>
      </c>
      <c r="G178" s="729">
        <v>0</v>
      </c>
      <c r="H178" s="729">
        <v>0</v>
      </c>
      <c r="I178" s="729">
        <v>0</v>
      </c>
      <c r="J178" s="729">
        <v>0</v>
      </c>
      <c r="K178" s="729">
        <v>0</v>
      </c>
      <c r="L178" s="729">
        <v>0</v>
      </c>
      <c r="M178" s="729">
        <v>0</v>
      </c>
      <c r="N178" s="729">
        <v>0</v>
      </c>
      <c r="O178" s="729">
        <v>0</v>
      </c>
      <c r="P178" s="729">
        <v>0</v>
      </c>
      <c r="Q178" s="729">
        <v>0</v>
      </c>
      <c r="R178" s="729">
        <v>0</v>
      </c>
      <c r="S178" s="730">
        <f t="shared" si="12"/>
        <v>0</v>
      </c>
      <c r="T178" s="749">
        <f t="shared" ca="1" si="13"/>
        <v>-457</v>
      </c>
      <c r="U178" s="732">
        <v>43925</v>
      </c>
      <c r="V178" s="733" t="s">
        <v>2366</v>
      </c>
      <c r="W178" s="751"/>
      <c r="X178" s="735"/>
      <c r="Y178" s="735"/>
      <c r="Z178" s="735"/>
      <c r="AA178" s="735"/>
      <c r="AB178" s="735"/>
      <c r="AC178" s="740"/>
      <c r="AD178" s="736">
        <v>43560</v>
      </c>
      <c r="AE178" s="750">
        <f t="shared" ca="1" si="14"/>
        <v>-1370</v>
      </c>
      <c r="AF178" s="649" t="s">
        <v>54</v>
      </c>
    </row>
    <row r="179" spans="1:32" s="745" customFormat="1" ht="25.5" x14ac:dyDescent="0.2">
      <c r="A179" s="742" t="s">
        <v>2150</v>
      </c>
      <c r="B179" s="649" t="s">
        <v>2337</v>
      </c>
      <c r="C179" s="649"/>
      <c r="D179" s="743" t="s">
        <v>2368</v>
      </c>
      <c r="E179" s="743" t="s">
        <v>2339</v>
      </c>
      <c r="F179" s="728">
        <v>0</v>
      </c>
      <c r="G179" s="729">
        <v>0</v>
      </c>
      <c r="H179" s="729">
        <v>0</v>
      </c>
      <c r="I179" s="729">
        <v>0</v>
      </c>
      <c r="J179" s="729">
        <v>0</v>
      </c>
      <c r="K179" s="729">
        <v>0</v>
      </c>
      <c r="L179" s="729">
        <v>0</v>
      </c>
      <c r="M179" s="729">
        <v>0</v>
      </c>
      <c r="N179" s="729">
        <v>0</v>
      </c>
      <c r="O179" s="729">
        <v>0</v>
      </c>
      <c r="P179" s="729">
        <v>0</v>
      </c>
      <c r="Q179" s="729">
        <v>0</v>
      </c>
      <c r="R179" s="729">
        <v>0</v>
      </c>
      <c r="S179" s="730">
        <f t="shared" si="12"/>
        <v>0</v>
      </c>
      <c r="T179" s="749">
        <f t="shared" ca="1" si="13"/>
        <v>97</v>
      </c>
      <c r="U179" s="732">
        <v>44479</v>
      </c>
      <c r="V179" s="733" t="s">
        <v>2369</v>
      </c>
      <c r="W179" s="751"/>
      <c r="X179" s="735"/>
      <c r="Y179" s="735"/>
      <c r="Z179" s="735"/>
      <c r="AA179" s="735"/>
      <c r="AB179" s="735"/>
      <c r="AC179" s="740"/>
      <c r="AD179" s="736">
        <v>43566</v>
      </c>
      <c r="AE179" s="750">
        <f t="shared" ca="1" si="14"/>
        <v>-1376</v>
      </c>
      <c r="AF179" s="649" t="s">
        <v>2343</v>
      </c>
    </row>
    <row r="180" spans="1:32" s="745" customFormat="1" ht="25.5" x14ac:dyDescent="0.2">
      <c r="A180" s="742" t="s">
        <v>2150</v>
      </c>
      <c r="B180" s="649" t="s">
        <v>2337</v>
      </c>
      <c r="C180" s="649"/>
      <c r="D180" s="743" t="s">
        <v>2370</v>
      </c>
      <c r="E180" s="743" t="s">
        <v>2339</v>
      </c>
      <c r="F180" s="728">
        <v>0</v>
      </c>
      <c r="G180" s="729">
        <v>0</v>
      </c>
      <c r="H180" s="729">
        <v>0</v>
      </c>
      <c r="I180" s="729">
        <v>0</v>
      </c>
      <c r="J180" s="729">
        <v>0</v>
      </c>
      <c r="K180" s="729">
        <v>0</v>
      </c>
      <c r="L180" s="729">
        <v>0</v>
      </c>
      <c r="M180" s="729">
        <v>0</v>
      </c>
      <c r="N180" s="729">
        <v>0</v>
      </c>
      <c r="O180" s="729">
        <v>0</v>
      </c>
      <c r="P180" s="729">
        <v>0</v>
      </c>
      <c r="Q180" s="729">
        <v>0</v>
      </c>
      <c r="R180" s="729">
        <v>0</v>
      </c>
      <c r="S180" s="730">
        <f t="shared" si="12"/>
        <v>0</v>
      </c>
      <c r="T180" s="749">
        <f t="shared" ca="1" si="13"/>
        <v>90</v>
      </c>
      <c r="U180" s="732">
        <v>44472</v>
      </c>
      <c r="V180" s="733" t="s">
        <v>2371</v>
      </c>
      <c r="W180" s="751"/>
      <c r="X180" s="735"/>
      <c r="Y180" s="735"/>
      <c r="Z180" s="735"/>
      <c r="AA180" s="735"/>
      <c r="AB180" s="735"/>
      <c r="AC180" s="740"/>
      <c r="AD180" s="736">
        <v>43559</v>
      </c>
      <c r="AE180" s="750">
        <f t="shared" ca="1" si="14"/>
        <v>-1369</v>
      </c>
      <c r="AF180" s="649" t="s">
        <v>2343</v>
      </c>
    </row>
    <row r="181" spans="1:32" s="745" customFormat="1" ht="63.75" x14ac:dyDescent="0.2">
      <c r="A181" s="742" t="s">
        <v>2372</v>
      </c>
      <c r="B181" s="649" t="s">
        <v>1840</v>
      </c>
      <c r="C181" s="649"/>
      <c r="D181" s="743" t="s">
        <v>2373</v>
      </c>
      <c r="E181" s="743" t="s">
        <v>2374</v>
      </c>
      <c r="F181" s="728">
        <v>27820</v>
      </c>
      <c r="G181" s="729">
        <v>0</v>
      </c>
      <c r="H181" s="729">
        <v>0</v>
      </c>
      <c r="I181" s="729">
        <v>0</v>
      </c>
      <c r="J181" s="729">
        <v>27820</v>
      </c>
      <c r="K181" s="729">
        <v>0</v>
      </c>
      <c r="L181" s="729">
        <v>0</v>
      </c>
      <c r="M181" s="729">
        <v>680</v>
      </c>
      <c r="N181" s="729">
        <v>0</v>
      </c>
      <c r="O181" s="729">
        <v>0</v>
      </c>
      <c r="P181" s="729">
        <v>0</v>
      </c>
      <c r="Q181" s="729">
        <v>0</v>
      </c>
      <c r="R181" s="729">
        <v>0</v>
      </c>
      <c r="S181" s="730">
        <f t="shared" si="12"/>
        <v>28500</v>
      </c>
      <c r="T181" s="749">
        <f t="shared" ca="1" si="13"/>
        <v>-813</v>
      </c>
      <c r="U181" s="732">
        <v>43569</v>
      </c>
      <c r="V181" s="733" t="s">
        <v>2375</v>
      </c>
      <c r="W181" s="751" t="s">
        <v>2363</v>
      </c>
      <c r="X181" s="735"/>
      <c r="Y181" s="735"/>
      <c r="Z181" s="735"/>
      <c r="AA181" s="735"/>
      <c r="AB181" s="735"/>
      <c r="AC181" s="740"/>
      <c r="AD181" s="736">
        <v>43539</v>
      </c>
      <c r="AE181" s="750">
        <f t="shared" ca="1" si="14"/>
        <v>-1349</v>
      </c>
      <c r="AF181" s="649" t="s">
        <v>2291</v>
      </c>
    </row>
    <row r="182" spans="1:32" s="745" customFormat="1" ht="63.75" x14ac:dyDescent="0.2">
      <c r="A182" s="742" t="s">
        <v>2376</v>
      </c>
      <c r="B182" s="649" t="s">
        <v>1840</v>
      </c>
      <c r="C182" s="649"/>
      <c r="D182" s="743" t="s">
        <v>2377</v>
      </c>
      <c r="E182" s="743" t="s">
        <v>2378</v>
      </c>
      <c r="F182" s="728">
        <v>9520</v>
      </c>
      <c r="G182" s="729">
        <v>0</v>
      </c>
      <c r="H182" s="729">
        <v>0</v>
      </c>
      <c r="I182" s="729">
        <v>9520</v>
      </c>
      <c r="J182" s="729">
        <v>0</v>
      </c>
      <c r="K182" s="729">
        <v>0</v>
      </c>
      <c r="L182" s="729">
        <v>0</v>
      </c>
      <c r="M182" s="729">
        <v>0</v>
      </c>
      <c r="N182" s="729">
        <v>0</v>
      </c>
      <c r="O182" s="729">
        <v>0</v>
      </c>
      <c r="P182" s="729">
        <v>0</v>
      </c>
      <c r="Q182" s="729">
        <v>0</v>
      </c>
      <c r="R182" s="729">
        <v>0</v>
      </c>
      <c r="S182" s="730">
        <f t="shared" si="12"/>
        <v>9520</v>
      </c>
      <c r="T182" s="749">
        <f t="shared" ca="1" si="13"/>
        <v>-828</v>
      </c>
      <c r="U182" s="732">
        <v>43554</v>
      </c>
      <c r="V182" s="733" t="s">
        <v>2357</v>
      </c>
      <c r="W182" s="751" t="s">
        <v>2363</v>
      </c>
      <c r="X182" s="735"/>
      <c r="Y182" s="735"/>
      <c r="Z182" s="735"/>
      <c r="AA182" s="735"/>
      <c r="AB182" s="735"/>
      <c r="AC182" s="740"/>
      <c r="AD182" s="736">
        <v>43525</v>
      </c>
      <c r="AE182" s="750">
        <f t="shared" ca="1" si="14"/>
        <v>-1335</v>
      </c>
      <c r="AF182" s="649" t="s">
        <v>2379</v>
      </c>
    </row>
    <row r="183" spans="1:32" s="745" customFormat="1" ht="51" x14ac:dyDescent="0.2">
      <c r="A183" s="742" t="s">
        <v>1976</v>
      </c>
      <c r="B183" s="649"/>
      <c r="C183" s="649" t="s">
        <v>1980</v>
      </c>
      <c r="D183" s="743" t="s">
        <v>1547</v>
      </c>
      <c r="E183" s="743" t="s">
        <v>2396</v>
      </c>
      <c r="F183" s="728">
        <v>94201.04</v>
      </c>
      <c r="G183" s="729">
        <v>0</v>
      </c>
      <c r="H183" s="729">
        <v>0</v>
      </c>
      <c r="I183" s="729">
        <v>0</v>
      </c>
      <c r="J183" s="729">
        <v>0</v>
      </c>
      <c r="K183" s="729">
        <v>0</v>
      </c>
      <c r="L183" s="729">
        <v>0</v>
      </c>
      <c r="M183" s="729">
        <v>0</v>
      </c>
      <c r="N183" s="729">
        <v>0</v>
      </c>
      <c r="O183" s="729">
        <v>0</v>
      </c>
      <c r="P183" s="729">
        <v>0</v>
      </c>
      <c r="Q183" s="729">
        <v>0</v>
      </c>
      <c r="R183" s="729">
        <v>0</v>
      </c>
      <c r="S183" s="730">
        <f t="shared" si="12"/>
        <v>0</v>
      </c>
      <c r="T183" s="731">
        <f t="shared" ca="1" si="13"/>
        <v>-407</v>
      </c>
      <c r="U183" s="732">
        <v>43975</v>
      </c>
      <c r="V183" s="733" t="s">
        <v>2550</v>
      </c>
      <c r="W183" s="751"/>
      <c r="X183" s="735"/>
      <c r="Y183" s="735"/>
      <c r="Z183" s="735"/>
      <c r="AA183" s="735"/>
      <c r="AB183" s="735"/>
      <c r="AC183" s="740"/>
      <c r="AD183" s="736">
        <v>42725</v>
      </c>
      <c r="AE183" s="737">
        <f t="shared" ca="1" si="14"/>
        <v>-534</v>
      </c>
      <c r="AF183" s="649" t="s">
        <v>48</v>
      </c>
    </row>
    <row r="184" spans="1:32" s="745" customFormat="1" ht="38.25" x14ac:dyDescent="0.2">
      <c r="A184" s="742" t="s">
        <v>2400</v>
      </c>
      <c r="B184" s="649" t="s">
        <v>1845</v>
      </c>
      <c r="C184" s="649"/>
      <c r="D184" s="743" t="s">
        <v>171</v>
      </c>
      <c r="E184" s="743" t="s">
        <v>1846</v>
      </c>
      <c r="F184" s="728">
        <v>20000</v>
      </c>
      <c r="G184" s="729">
        <v>0</v>
      </c>
      <c r="H184" s="729">
        <v>92.14</v>
      </c>
      <c r="I184" s="729">
        <f>1336.76+202.2</f>
        <v>1538.96</v>
      </c>
      <c r="J184" s="729">
        <v>933.07</v>
      </c>
      <c r="K184" s="729">
        <v>947.94</v>
      </c>
      <c r="L184" s="729">
        <v>734.8</v>
      </c>
      <c r="M184" s="729">
        <f>7.85+464.61</f>
        <v>472.46000000000004</v>
      </c>
      <c r="N184" s="729">
        <v>923.84</v>
      </c>
      <c r="O184" s="729">
        <v>595.03</v>
      </c>
      <c r="P184" s="729">
        <v>1002.41</v>
      </c>
      <c r="Q184" s="729">
        <v>4006.46</v>
      </c>
      <c r="R184" s="729">
        <v>11400.22</v>
      </c>
      <c r="S184" s="730">
        <f t="shared" si="12"/>
        <v>22647.33</v>
      </c>
      <c r="T184" s="731">
        <f t="shared" ca="1" si="13"/>
        <v>-529</v>
      </c>
      <c r="U184" s="732">
        <v>43853</v>
      </c>
      <c r="V184" s="739" t="s">
        <v>2401</v>
      </c>
      <c r="W184" s="751" t="s">
        <v>2469</v>
      </c>
      <c r="X184" s="735"/>
      <c r="Y184" s="735"/>
      <c r="Z184" s="735"/>
      <c r="AA184" s="735"/>
      <c r="AB184" s="735"/>
      <c r="AC184" s="740">
        <v>43804</v>
      </c>
      <c r="AD184" s="736">
        <v>43489</v>
      </c>
      <c r="AE184" s="737">
        <f t="shared" ca="1" si="14"/>
        <v>-1299</v>
      </c>
      <c r="AF184" s="649" t="s">
        <v>54</v>
      </c>
    </row>
    <row r="185" spans="1:32" s="745" customFormat="1" ht="38.25" x14ac:dyDescent="0.2">
      <c r="A185" s="742" t="s">
        <v>2150</v>
      </c>
      <c r="B185" s="649" t="s">
        <v>2337</v>
      </c>
      <c r="C185" s="649"/>
      <c r="D185" s="743" t="s">
        <v>2555</v>
      </c>
      <c r="E185" s="743" t="s">
        <v>2470</v>
      </c>
      <c r="F185" s="728">
        <v>0</v>
      </c>
      <c r="G185" s="729">
        <v>0</v>
      </c>
      <c r="H185" s="729">
        <v>0</v>
      </c>
      <c r="I185" s="729">
        <v>0</v>
      </c>
      <c r="J185" s="729">
        <v>0</v>
      </c>
      <c r="K185" s="729">
        <v>0</v>
      </c>
      <c r="L185" s="729">
        <v>0</v>
      </c>
      <c r="M185" s="729">
        <v>0</v>
      </c>
      <c r="N185" s="729">
        <v>0</v>
      </c>
      <c r="O185" s="729">
        <v>0</v>
      </c>
      <c r="P185" s="729">
        <v>154.30000000000001</v>
      </c>
      <c r="Q185" s="729">
        <v>500</v>
      </c>
      <c r="R185" s="729">
        <v>257.2</v>
      </c>
      <c r="S185" s="730">
        <f t="shared" si="12"/>
        <v>911.5</v>
      </c>
      <c r="T185" s="749">
        <f t="shared" ca="1" si="13"/>
        <v>-390</v>
      </c>
      <c r="U185" s="732">
        <v>43992</v>
      </c>
      <c r="V185" s="733" t="s">
        <v>2471</v>
      </c>
      <c r="W185" s="751"/>
      <c r="X185" s="735"/>
      <c r="Y185" s="735"/>
      <c r="Z185" s="735"/>
      <c r="AA185" s="735"/>
      <c r="AB185" s="735"/>
      <c r="AC185" s="740"/>
      <c r="AD185" s="736">
        <v>43445</v>
      </c>
      <c r="AE185" s="750">
        <f t="shared" ca="1" si="14"/>
        <v>-1255</v>
      </c>
      <c r="AF185" s="649" t="s">
        <v>2343</v>
      </c>
    </row>
    <row r="186" spans="1:32" s="745" customFormat="1" ht="52.5" customHeight="1" x14ac:dyDescent="0.2">
      <c r="A186" s="742" t="s">
        <v>2472</v>
      </c>
      <c r="B186" s="649"/>
      <c r="C186" s="649" t="s">
        <v>2473</v>
      </c>
      <c r="D186" s="743" t="s">
        <v>212</v>
      </c>
      <c r="E186" s="743" t="s">
        <v>2474</v>
      </c>
      <c r="F186" s="728">
        <v>10560</v>
      </c>
      <c r="G186" s="729">
        <v>0</v>
      </c>
      <c r="H186" s="729">
        <v>0</v>
      </c>
      <c r="I186" s="729">
        <v>0</v>
      </c>
      <c r="J186" s="729">
        <v>0</v>
      </c>
      <c r="K186" s="729">
        <v>809.66</v>
      </c>
      <c r="L186" s="729">
        <v>809.66</v>
      </c>
      <c r="M186" s="729">
        <v>880</v>
      </c>
      <c r="N186" s="729">
        <v>880</v>
      </c>
      <c r="O186" s="729">
        <v>880</v>
      </c>
      <c r="P186" s="729">
        <v>880</v>
      </c>
      <c r="Q186" s="729">
        <v>880</v>
      </c>
      <c r="R186" s="729">
        <v>880</v>
      </c>
      <c r="S186" s="730">
        <f t="shared" si="12"/>
        <v>6899.32</v>
      </c>
      <c r="T186" s="749">
        <f t="shared" ca="1" si="13"/>
        <v>-410</v>
      </c>
      <c r="U186" s="732">
        <v>43972</v>
      </c>
      <c r="V186" s="733" t="s">
        <v>2475</v>
      </c>
      <c r="W186" s="751"/>
      <c r="X186" s="735"/>
      <c r="Y186" s="735"/>
      <c r="Z186" s="735"/>
      <c r="AA186" s="735"/>
      <c r="AB186" s="735"/>
      <c r="AC186" s="740"/>
      <c r="AD186" s="736">
        <v>43607</v>
      </c>
      <c r="AE186" s="750">
        <f t="shared" ca="1" si="14"/>
        <v>-1417</v>
      </c>
      <c r="AF186" s="649" t="s">
        <v>2291</v>
      </c>
    </row>
    <row r="187" spans="1:32" s="745" customFormat="1" ht="76.5" customHeight="1" x14ac:dyDescent="0.2">
      <c r="A187" s="742" t="s">
        <v>2476</v>
      </c>
      <c r="B187" s="649"/>
      <c r="C187" s="649" t="s">
        <v>2477</v>
      </c>
      <c r="D187" s="743" t="s">
        <v>2478</v>
      </c>
      <c r="E187" s="743" t="s">
        <v>2479</v>
      </c>
      <c r="F187" s="728">
        <v>99011</v>
      </c>
      <c r="G187" s="729">
        <v>0</v>
      </c>
      <c r="H187" s="729">
        <v>0</v>
      </c>
      <c r="I187" s="729">
        <v>0</v>
      </c>
      <c r="J187" s="729">
        <f>3124.14+777.72+2125.73+2961.13+2331.08</f>
        <v>11319.800000000001</v>
      </c>
      <c r="K187" s="729">
        <f>2948.68+2693.38+2280.68+1020</f>
        <v>8942.74</v>
      </c>
      <c r="L187" s="729">
        <v>2192.38</v>
      </c>
      <c r="M187" s="729">
        <v>4291.08</v>
      </c>
      <c r="N187" s="729">
        <v>354.58</v>
      </c>
      <c r="O187" s="729">
        <f>1663.92+1497.53+896.46+3363.2</f>
        <v>7421.11</v>
      </c>
      <c r="P187" s="729">
        <f>3547.68+3715.44+4679.76+1036.47+1105.82+1521.31</f>
        <v>15606.48</v>
      </c>
      <c r="Q187" s="729">
        <f>6178.76+490.94+3156.17+2414.25+931.46</f>
        <v>13171.579999999998</v>
      </c>
      <c r="R187" s="729">
        <f>1824.69+918.28+2290.28+1901.42</f>
        <v>6934.67</v>
      </c>
      <c r="S187" s="730">
        <f t="shared" si="12"/>
        <v>70234.42</v>
      </c>
      <c r="T187" s="749">
        <f t="shared" ca="1" si="13"/>
        <v>-403</v>
      </c>
      <c r="U187" s="732">
        <v>43979</v>
      </c>
      <c r="V187" s="733" t="s">
        <v>2480</v>
      </c>
      <c r="W187" s="751"/>
      <c r="X187" s="735"/>
      <c r="Y187" s="735"/>
      <c r="Z187" s="735"/>
      <c r="AA187" s="735"/>
      <c r="AB187" s="735"/>
      <c r="AC187" s="740"/>
      <c r="AD187" s="736">
        <v>43614</v>
      </c>
      <c r="AE187" s="750">
        <f t="shared" ca="1" si="14"/>
        <v>-1424</v>
      </c>
      <c r="AF187" s="649"/>
    </row>
    <row r="188" spans="1:32" s="745" customFormat="1" ht="38.25" x14ac:dyDescent="0.2">
      <c r="A188" s="742" t="s">
        <v>2481</v>
      </c>
      <c r="B188" s="649"/>
      <c r="C188" s="649" t="s">
        <v>2482</v>
      </c>
      <c r="D188" s="743" t="s">
        <v>2483</v>
      </c>
      <c r="E188" s="743" t="s">
        <v>2484</v>
      </c>
      <c r="F188" s="728">
        <v>30400</v>
      </c>
      <c r="G188" s="729">
        <v>0</v>
      </c>
      <c r="H188" s="729">
        <v>0</v>
      </c>
      <c r="I188" s="729">
        <v>0</v>
      </c>
      <c r="J188" s="729">
        <v>0</v>
      </c>
      <c r="K188" s="729">
        <v>0</v>
      </c>
      <c r="L188" s="729">
        <v>0</v>
      </c>
      <c r="M188" s="839">
        <f>76+212.8+167.2</f>
        <v>456</v>
      </c>
      <c r="N188" s="729">
        <f>83.6+114+91.2</f>
        <v>288.8</v>
      </c>
      <c r="O188" s="729">
        <f>129.2+3344+129.2+273.3</f>
        <v>3875.7</v>
      </c>
      <c r="P188" s="729">
        <v>0</v>
      </c>
      <c r="Q188" s="839">
        <f>114+91.2</f>
        <v>205.2</v>
      </c>
      <c r="R188" s="729">
        <v>0</v>
      </c>
      <c r="S188" s="730">
        <f t="shared" si="12"/>
        <v>4825.7</v>
      </c>
      <c r="T188" s="749">
        <f t="shared" ca="1" si="13"/>
        <v>-387</v>
      </c>
      <c r="U188" s="732">
        <v>43995</v>
      </c>
      <c r="V188" s="733" t="s">
        <v>2485</v>
      </c>
      <c r="W188" s="751"/>
      <c r="X188" s="735"/>
      <c r="Y188" s="735"/>
      <c r="Z188" s="735"/>
      <c r="AA188" s="735"/>
      <c r="AB188" s="735"/>
      <c r="AC188" s="740"/>
      <c r="AD188" s="736">
        <v>43630</v>
      </c>
      <c r="AE188" s="750">
        <f t="shared" ca="1" si="14"/>
        <v>-1440</v>
      </c>
      <c r="AF188" s="649"/>
    </row>
    <row r="189" spans="1:32" s="745" customFormat="1" ht="63.75" x14ac:dyDescent="0.2">
      <c r="A189" s="742" t="s">
        <v>2486</v>
      </c>
      <c r="B189" s="649" t="s">
        <v>2500</v>
      </c>
      <c r="C189" s="649"/>
      <c r="D189" s="743" t="s">
        <v>2487</v>
      </c>
      <c r="E189" s="743" t="s">
        <v>2488</v>
      </c>
      <c r="F189" s="728">
        <v>15000</v>
      </c>
      <c r="G189" s="729">
        <v>0</v>
      </c>
      <c r="H189" s="729">
        <v>0</v>
      </c>
      <c r="I189" s="729">
        <v>0</v>
      </c>
      <c r="J189" s="729">
        <v>0</v>
      </c>
      <c r="K189" s="729">
        <v>0</v>
      </c>
      <c r="L189" s="729">
        <v>0</v>
      </c>
      <c r="M189" s="729">
        <v>15000</v>
      </c>
      <c r="N189" s="729">
        <v>0</v>
      </c>
      <c r="O189" s="729">
        <v>0</v>
      </c>
      <c r="P189" s="729">
        <v>0</v>
      </c>
      <c r="Q189" s="729">
        <v>0</v>
      </c>
      <c r="R189" s="729">
        <v>0</v>
      </c>
      <c r="S189" s="730">
        <f t="shared" si="12"/>
        <v>15000</v>
      </c>
      <c r="T189" s="749">
        <f t="shared" ca="1" si="13"/>
        <v>-708</v>
      </c>
      <c r="U189" s="732">
        <v>43674</v>
      </c>
      <c r="V189" s="733" t="s">
        <v>2489</v>
      </c>
      <c r="W189" s="751"/>
      <c r="X189" s="735"/>
      <c r="Y189" s="735"/>
      <c r="Z189" s="735"/>
      <c r="AA189" s="735"/>
      <c r="AB189" s="735"/>
      <c r="AC189" s="740"/>
      <c r="AD189" s="736">
        <v>43700</v>
      </c>
      <c r="AE189" s="750">
        <f t="shared" ca="1" si="14"/>
        <v>-1510</v>
      </c>
      <c r="AF189" s="649"/>
    </row>
    <row r="190" spans="1:32" s="745" customFormat="1" ht="76.5" x14ac:dyDescent="0.2">
      <c r="A190" s="742" t="s">
        <v>2490</v>
      </c>
      <c r="B190" s="649"/>
      <c r="C190" s="649" t="s">
        <v>2491</v>
      </c>
      <c r="D190" s="743" t="s">
        <v>2492</v>
      </c>
      <c r="E190" s="743" t="s">
        <v>2493</v>
      </c>
      <c r="F190" s="728">
        <v>1624655.2</v>
      </c>
      <c r="G190" s="729">
        <v>0</v>
      </c>
      <c r="H190" s="729">
        <v>0</v>
      </c>
      <c r="I190" s="729">
        <v>0</v>
      </c>
      <c r="J190" s="729">
        <v>0</v>
      </c>
      <c r="K190" s="729">
        <v>0</v>
      </c>
      <c r="L190" s="729">
        <v>0</v>
      </c>
      <c r="M190" s="729">
        <v>0</v>
      </c>
      <c r="N190" s="729">
        <v>0</v>
      </c>
      <c r="O190" s="729">
        <v>131082.21</v>
      </c>
      <c r="P190" s="729">
        <f>125710.4+4859.76</f>
        <v>130570.15999999999</v>
      </c>
      <c r="Q190" s="729">
        <v>150462.88</v>
      </c>
      <c r="R190" s="729">
        <f>64413.99+152424.2</f>
        <v>216838.19</v>
      </c>
      <c r="S190" s="730">
        <f t="shared" si="12"/>
        <v>628953.43999999994</v>
      </c>
      <c r="T190" s="749">
        <f t="shared" ca="1" si="13"/>
        <v>-326</v>
      </c>
      <c r="U190" s="732">
        <v>44056</v>
      </c>
      <c r="V190" s="733" t="s">
        <v>2549</v>
      </c>
      <c r="W190" s="751"/>
      <c r="X190" s="735"/>
      <c r="Y190" s="735"/>
      <c r="Z190" s="735"/>
      <c r="AA190" s="735"/>
      <c r="AB190" s="735"/>
      <c r="AC190" s="740"/>
      <c r="AD190" s="736">
        <v>43691</v>
      </c>
      <c r="AE190" s="750">
        <f t="shared" ca="1" si="14"/>
        <v>-1501</v>
      </c>
      <c r="AF190" s="649" t="s">
        <v>2307</v>
      </c>
    </row>
    <row r="191" spans="1:32" s="745" customFormat="1" ht="54" customHeight="1" x14ac:dyDescent="0.2">
      <c r="A191" s="742" t="s">
        <v>2494</v>
      </c>
      <c r="B191" s="649" t="s">
        <v>2495</v>
      </c>
      <c r="C191" s="649"/>
      <c r="D191" s="743" t="s">
        <v>62</v>
      </c>
      <c r="E191" s="743" t="s">
        <v>2496</v>
      </c>
      <c r="F191" s="728">
        <v>11760</v>
      </c>
      <c r="G191" s="729">
        <v>0</v>
      </c>
      <c r="H191" s="729">
        <v>0</v>
      </c>
      <c r="I191" s="729">
        <v>0</v>
      </c>
      <c r="J191" s="729">
        <v>0</v>
      </c>
      <c r="K191" s="729">
        <v>0</v>
      </c>
      <c r="L191" s="729">
        <v>0</v>
      </c>
      <c r="M191" s="729">
        <v>0</v>
      </c>
      <c r="N191" s="729">
        <v>0</v>
      </c>
      <c r="O191" s="729">
        <v>0</v>
      </c>
      <c r="P191" s="729">
        <v>980</v>
      </c>
      <c r="Q191" s="729">
        <v>0</v>
      </c>
      <c r="R191" s="729">
        <v>980</v>
      </c>
      <c r="S191" s="730">
        <f t="shared" si="12"/>
        <v>1960</v>
      </c>
      <c r="T191" s="749">
        <f t="shared" ca="1" si="13"/>
        <v>-321</v>
      </c>
      <c r="U191" s="732">
        <v>44061</v>
      </c>
      <c r="V191" s="733" t="s">
        <v>2497</v>
      </c>
      <c r="W191" s="751"/>
      <c r="X191" s="735"/>
      <c r="Y191" s="735"/>
      <c r="Z191" s="735"/>
      <c r="AA191" s="735"/>
      <c r="AB191" s="735"/>
      <c r="AC191" s="740"/>
      <c r="AD191" s="736">
        <v>43696</v>
      </c>
      <c r="AE191" s="750">
        <f t="shared" ca="1" si="14"/>
        <v>-1506</v>
      </c>
      <c r="AF191" s="649" t="s">
        <v>2291</v>
      </c>
    </row>
    <row r="192" spans="1:32" s="745" customFormat="1" ht="51" x14ac:dyDescent="0.2">
      <c r="A192" s="742" t="s">
        <v>2498</v>
      </c>
      <c r="B192" s="649" t="s">
        <v>2499</v>
      </c>
      <c r="C192" s="649"/>
      <c r="D192" s="743" t="s">
        <v>2501</v>
      </c>
      <c r="E192" s="743" t="s">
        <v>2502</v>
      </c>
      <c r="F192" s="728">
        <v>6930</v>
      </c>
      <c r="G192" s="729">
        <v>0</v>
      </c>
      <c r="H192" s="729">
        <v>0</v>
      </c>
      <c r="I192" s="729">
        <v>0</v>
      </c>
      <c r="J192" s="729">
        <v>0</v>
      </c>
      <c r="K192" s="729">
        <v>0</v>
      </c>
      <c r="L192" s="729">
        <v>0</v>
      </c>
      <c r="M192" s="729">
        <v>0</v>
      </c>
      <c r="N192" s="729">
        <v>0</v>
      </c>
      <c r="O192" s="729">
        <v>6930</v>
      </c>
      <c r="P192" s="729">
        <v>0</v>
      </c>
      <c r="Q192" s="729">
        <v>0</v>
      </c>
      <c r="R192" s="729">
        <v>0</v>
      </c>
      <c r="S192" s="730">
        <f t="shared" si="12"/>
        <v>6930</v>
      </c>
      <c r="T192" s="749">
        <f t="shared" ca="1" si="13"/>
        <v>-310</v>
      </c>
      <c r="U192" s="732">
        <v>44072</v>
      </c>
      <c r="V192" s="733" t="s">
        <v>2503</v>
      </c>
      <c r="W192" s="751"/>
      <c r="X192" s="735"/>
      <c r="Y192" s="735"/>
      <c r="Z192" s="735"/>
      <c r="AA192" s="735"/>
      <c r="AB192" s="735"/>
      <c r="AC192" s="740"/>
      <c r="AD192" s="736">
        <v>43707</v>
      </c>
      <c r="AE192" s="750">
        <f t="shared" ca="1" si="14"/>
        <v>-1517</v>
      </c>
      <c r="AF192" s="649"/>
    </row>
    <row r="193" spans="1:32" s="745" customFormat="1" ht="76.5" x14ac:dyDescent="0.2">
      <c r="A193" s="742" t="s">
        <v>2504</v>
      </c>
      <c r="B193" s="649" t="s">
        <v>2500</v>
      </c>
      <c r="C193" s="649"/>
      <c r="D193" s="743" t="s">
        <v>2505</v>
      </c>
      <c r="E193" s="743" t="s">
        <v>2506</v>
      </c>
      <c r="F193" s="728">
        <v>9600</v>
      </c>
      <c r="G193" s="729">
        <v>0</v>
      </c>
      <c r="H193" s="729">
        <v>0</v>
      </c>
      <c r="I193" s="729">
        <v>0</v>
      </c>
      <c r="J193" s="729">
        <v>0</v>
      </c>
      <c r="K193" s="729">
        <v>0</v>
      </c>
      <c r="L193" s="729">
        <v>0</v>
      </c>
      <c r="M193" s="729">
        <v>0</v>
      </c>
      <c r="N193" s="729">
        <v>0</v>
      </c>
      <c r="O193" s="729">
        <v>0</v>
      </c>
      <c r="P193" s="729">
        <v>0</v>
      </c>
      <c r="Q193" s="729">
        <v>9600</v>
      </c>
      <c r="R193" s="729">
        <v>0</v>
      </c>
      <c r="S193" s="730">
        <f t="shared" si="12"/>
        <v>9600</v>
      </c>
      <c r="T193" s="749">
        <f t="shared" ca="1" si="13"/>
        <v>-248</v>
      </c>
      <c r="U193" s="732">
        <v>44134</v>
      </c>
      <c r="V193" s="733" t="s">
        <v>2507</v>
      </c>
      <c r="W193" s="751"/>
      <c r="X193" s="735"/>
      <c r="Y193" s="735"/>
      <c r="Z193" s="735"/>
      <c r="AA193" s="735"/>
      <c r="AB193" s="735"/>
      <c r="AC193" s="740"/>
      <c r="AD193" s="736">
        <v>43769</v>
      </c>
      <c r="AE193" s="750">
        <f t="shared" ca="1" si="14"/>
        <v>-1579</v>
      </c>
      <c r="AF193" s="649" t="s">
        <v>2379</v>
      </c>
    </row>
    <row r="194" spans="1:32" s="745" customFormat="1" ht="38.25" x14ac:dyDescent="0.2">
      <c r="A194" s="742" t="s">
        <v>2508</v>
      </c>
      <c r="B194" s="649" t="s">
        <v>2500</v>
      </c>
      <c r="C194" s="649"/>
      <c r="D194" s="743" t="s">
        <v>2509</v>
      </c>
      <c r="E194" s="743" t="s">
        <v>2510</v>
      </c>
      <c r="F194" s="728">
        <v>6351.36</v>
      </c>
      <c r="G194" s="729">
        <v>0</v>
      </c>
      <c r="H194" s="729">
        <v>0</v>
      </c>
      <c r="I194" s="729">
        <v>0</v>
      </c>
      <c r="J194" s="729">
        <v>0</v>
      </c>
      <c r="K194" s="729">
        <v>0</v>
      </c>
      <c r="L194" s="729">
        <v>0</v>
      </c>
      <c r="M194" s="729">
        <v>0</v>
      </c>
      <c r="N194" s="729">
        <v>0</v>
      </c>
      <c r="O194" s="729">
        <v>0</v>
      </c>
      <c r="P194" s="729">
        <v>0</v>
      </c>
      <c r="Q194" s="729">
        <v>524.16</v>
      </c>
      <c r="R194" s="729">
        <v>544.32000000000005</v>
      </c>
      <c r="S194" s="730">
        <f t="shared" ref="S194:S207" si="15">SUM(G194:R194)</f>
        <v>1068.48</v>
      </c>
      <c r="T194" s="749">
        <f t="shared" ca="1" si="13"/>
        <v>-229</v>
      </c>
      <c r="U194" s="732">
        <v>44153</v>
      </c>
      <c r="V194" s="733" t="s">
        <v>2511</v>
      </c>
      <c r="W194" s="751"/>
      <c r="X194" s="735"/>
      <c r="Y194" s="735"/>
      <c r="Z194" s="735"/>
      <c r="AA194" s="735"/>
      <c r="AB194" s="735"/>
      <c r="AC194" s="740"/>
      <c r="AD194" s="736">
        <v>43788</v>
      </c>
      <c r="AE194" s="750">
        <f t="shared" ca="1" si="14"/>
        <v>-1598</v>
      </c>
      <c r="AF194" s="649" t="s">
        <v>2307</v>
      </c>
    </row>
    <row r="195" spans="1:32" s="745" customFormat="1" ht="38.25" x14ac:dyDescent="0.2">
      <c r="A195" s="742" t="s">
        <v>2512</v>
      </c>
      <c r="B195" s="649" t="s">
        <v>2514</v>
      </c>
      <c r="C195" s="649" t="s">
        <v>2516</v>
      </c>
      <c r="D195" s="743" t="s">
        <v>2515</v>
      </c>
      <c r="E195" s="743" t="s">
        <v>2517</v>
      </c>
      <c r="F195" s="728">
        <v>264000</v>
      </c>
      <c r="G195" s="729">
        <v>0</v>
      </c>
      <c r="H195" s="729">
        <v>0</v>
      </c>
      <c r="I195" s="729">
        <v>0</v>
      </c>
      <c r="J195" s="729">
        <v>0</v>
      </c>
      <c r="K195" s="729">
        <v>0</v>
      </c>
      <c r="L195" s="729">
        <v>0</v>
      </c>
      <c r="M195" s="729">
        <v>0</v>
      </c>
      <c r="N195" s="729">
        <v>0</v>
      </c>
      <c r="O195" s="729">
        <v>264000</v>
      </c>
      <c r="P195" s="729">
        <v>0</v>
      </c>
      <c r="Q195" s="729">
        <v>0</v>
      </c>
      <c r="R195" s="729">
        <v>0</v>
      </c>
      <c r="S195" s="730">
        <f t="shared" si="15"/>
        <v>264000</v>
      </c>
      <c r="T195" s="749">
        <f t="shared" ca="1" si="13"/>
        <v>1091</v>
      </c>
      <c r="U195" s="732">
        <v>45473</v>
      </c>
      <c r="V195" s="733" t="s">
        <v>2518</v>
      </c>
      <c r="W195" s="751"/>
      <c r="X195" s="735"/>
      <c r="Y195" s="735"/>
      <c r="Z195" s="735"/>
      <c r="AA195" s="735"/>
      <c r="AB195" s="735"/>
      <c r="AC195" s="740"/>
      <c r="AD195" s="736">
        <v>43647</v>
      </c>
      <c r="AE195" s="750">
        <f t="shared" ca="1" si="14"/>
        <v>-1457</v>
      </c>
      <c r="AF195" s="649" t="s">
        <v>2379</v>
      </c>
    </row>
    <row r="196" spans="1:32" s="745" customFormat="1" ht="38.25" x14ac:dyDescent="0.2">
      <c r="A196" s="742" t="s">
        <v>2519</v>
      </c>
      <c r="B196" s="649"/>
      <c r="C196" s="649" t="s">
        <v>2513</v>
      </c>
      <c r="D196" s="743" t="s">
        <v>2520</v>
      </c>
      <c r="E196" s="743" t="s">
        <v>2521</v>
      </c>
      <c r="F196" s="728">
        <v>11799.96</v>
      </c>
      <c r="G196" s="729">
        <v>0</v>
      </c>
      <c r="H196" s="729">
        <v>0</v>
      </c>
      <c r="I196" s="729">
        <v>0</v>
      </c>
      <c r="J196" s="729">
        <v>0</v>
      </c>
      <c r="K196" s="729">
        <v>0</v>
      </c>
      <c r="L196" s="729">
        <v>0</v>
      </c>
      <c r="M196" s="729">
        <v>0</v>
      </c>
      <c r="N196" s="729">
        <v>0</v>
      </c>
      <c r="O196" s="729">
        <v>0</v>
      </c>
      <c r="P196" s="729">
        <v>11799.96</v>
      </c>
      <c r="Q196" s="729">
        <v>0</v>
      </c>
      <c r="R196" s="729">
        <v>0</v>
      </c>
      <c r="S196" s="730">
        <f>SUM(G196:R196)</f>
        <v>11799.96</v>
      </c>
      <c r="T196" s="749">
        <f t="shared" ca="1" si="13"/>
        <v>-334</v>
      </c>
      <c r="U196" s="732">
        <v>44048</v>
      </c>
      <c r="V196" s="733" t="s">
        <v>2522</v>
      </c>
      <c r="W196" s="751"/>
      <c r="X196" s="735"/>
      <c r="Y196" s="735"/>
      <c r="Z196" s="735"/>
      <c r="AA196" s="735"/>
      <c r="AB196" s="735"/>
      <c r="AC196" s="740"/>
      <c r="AD196" s="736">
        <v>43683</v>
      </c>
      <c r="AE196" s="750">
        <f t="shared" ca="1" si="14"/>
        <v>-1493</v>
      </c>
      <c r="AF196" s="649" t="s">
        <v>2379</v>
      </c>
    </row>
    <row r="197" spans="1:32" s="745" customFormat="1" ht="67.5" customHeight="1" x14ac:dyDescent="0.2">
      <c r="A197" s="742" t="s">
        <v>2523</v>
      </c>
      <c r="B197" s="649"/>
      <c r="C197" s="649" t="s">
        <v>2524</v>
      </c>
      <c r="D197" s="743" t="s">
        <v>2525</v>
      </c>
      <c r="E197" s="743" t="s">
        <v>2526</v>
      </c>
      <c r="F197" s="728">
        <v>112593</v>
      </c>
      <c r="G197" s="729">
        <v>0</v>
      </c>
      <c r="H197" s="729">
        <v>0</v>
      </c>
      <c r="I197" s="729">
        <v>0</v>
      </c>
      <c r="J197" s="729">
        <v>0</v>
      </c>
      <c r="K197" s="729">
        <v>0</v>
      </c>
      <c r="L197" s="729">
        <v>0</v>
      </c>
      <c r="M197" s="729">
        <v>0</v>
      </c>
      <c r="N197" s="729">
        <v>0</v>
      </c>
      <c r="O197" s="729">
        <v>0</v>
      </c>
      <c r="P197" s="729">
        <v>0</v>
      </c>
      <c r="Q197" s="729">
        <v>20400.03</v>
      </c>
      <c r="R197" s="729">
        <v>0</v>
      </c>
      <c r="S197" s="730">
        <f t="shared" si="15"/>
        <v>20400.03</v>
      </c>
      <c r="T197" s="749">
        <f t="shared" ca="1" si="13"/>
        <v>1183</v>
      </c>
      <c r="U197" s="732">
        <v>45565</v>
      </c>
      <c r="V197" s="733" t="s">
        <v>2527</v>
      </c>
      <c r="W197" s="751"/>
      <c r="X197" s="735"/>
      <c r="Y197" s="735"/>
      <c r="Z197" s="735"/>
      <c r="AA197" s="735"/>
      <c r="AB197" s="735"/>
      <c r="AC197" s="740"/>
      <c r="AD197" s="736">
        <v>43739</v>
      </c>
      <c r="AE197" s="750">
        <f t="shared" ca="1" si="14"/>
        <v>-1549</v>
      </c>
      <c r="AF197" s="649"/>
    </row>
    <row r="198" spans="1:32" s="745" customFormat="1" ht="51" x14ac:dyDescent="0.2">
      <c r="A198" s="742" t="s">
        <v>2528</v>
      </c>
      <c r="B198" s="649"/>
      <c r="C198" s="649" t="s">
        <v>2420</v>
      </c>
      <c r="D198" s="743" t="s">
        <v>2529</v>
      </c>
      <c r="E198" s="743" t="s">
        <v>2530</v>
      </c>
      <c r="F198" s="728">
        <v>0</v>
      </c>
      <c r="G198" s="729">
        <v>0</v>
      </c>
      <c r="H198" s="729">
        <v>0</v>
      </c>
      <c r="I198" s="729">
        <v>0</v>
      </c>
      <c r="J198" s="729">
        <v>0</v>
      </c>
      <c r="K198" s="729">
        <v>0</v>
      </c>
      <c r="L198" s="729">
        <v>0</v>
      </c>
      <c r="M198" s="729">
        <v>0</v>
      </c>
      <c r="N198" s="729">
        <v>0</v>
      </c>
      <c r="O198" s="729">
        <v>0</v>
      </c>
      <c r="P198" s="729">
        <v>0</v>
      </c>
      <c r="Q198" s="729">
        <v>0</v>
      </c>
      <c r="R198" s="729">
        <v>0</v>
      </c>
      <c r="S198" s="730">
        <f t="shared" si="15"/>
        <v>0</v>
      </c>
      <c r="T198" s="749">
        <f t="shared" ca="1" si="13"/>
        <v>-269</v>
      </c>
      <c r="U198" s="732">
        <v>44113</v>
      </c>
      <c r="V198" s="733" t="s">
        <v>2531</v>
      </c>
      <c r="W198" s="751"/>
      <c r="X198" s="735"/>
      <c r="Y198" s="735"/>
      <c r="Z198" s="735"/>
      <c r="AA198" s="735"/>
      <c r="AB198" s="735"/>
      <c r="AC198" s="740"/>
      <c r="AD198" s="736">
        <v>43748</v>
      </c>
      <c r="AE198" s="750">
        <f t="shared" ca="1" si="14"/>
        <v>-1558</v>
      </c>
      <c r="AF198" s="649" t="s">
        <v>2385</v>
      </c>
    </row>
    <row r="199" spans="1:32" s="745" customFormat="1" ht="51" x14ac:dyDescent="0.2">
      <c r="A199" s="742" t="s">
        <v>2528</v>
      </c>
      <c r="B199" s="649"/>
      <c r="C199" s="649" t="s">
        <v>2420</v>
      </c>
      <c r="D199" s="743" t="s">
        <v>2532</v>
      </c>
      <c r="E199" s="743" t="s">
        <v>2530</v>
      </c>
      <c r="F199" s="728">
        <v>0</v>
      </c>
      <c r="G199" s="729">
        <v>0</v>
      </c>
      <c r="H199" s="729">
        <v>0</v>
      </c>
      <c r="I199" s="729">
        <v>0</v>
      </c>
      <c r="J199" s="729">
        <v>0</v>
      </c>
      <c r="K199" s="729">
        <v>0</v>
      </c>
      <c r="L199" s="729">
        <v>0</v>
      </c>
      <c r="M199" s="729">
        <v>0</v>
      </c>
      <c r="N199" s="729">
        <v>0</v>
      </c>
      <c r="O199" s="729">
        <v>0</v>
      </c>
      <c r="P199" s="729">
        <v>0</v>
      </c>
      <c r="Q199" s="729">
        <v>0</v>
      </c>
      <c r="R199" s="729">
        <v>0</v>
      </c>
      <c r="S199" s="730">
        <f t="shared" si="15"/>
        <v>0</v>
      </c>
      <c r="T199" s="749">
        <f t="shared" ca="1" si="13"/>
        <v>-269</v>
      </c>
      <c r="U199" s="732">
        <v>44113</v>
      </c>
      <c r="V199" s="733" t="s">
        <v>2531</v>
      </c>
      <c r="W199" s="751"/>
      <c r="X199" s="735"/>
      <c r="Y199" s="735"/>
      <c r="Z199" s="735"/>
      <c r="AA199" s="735"/>
      <c r="AB199" s="735"/>
      <c r="AC199" s="740"/>
      <c r="AD199" s="736">
        <v>43748</v>
      </c>
      <c r="AE199" s="750">
        <f t="shared" ca="1" si="14"/>
        <v>-1558</v>
      </c>
      <c r="AF199" s="649" t="s">
        <v>2385</v>
      </c>
    </row>
    <row r="200" spans="1:32" s="745" customFormat="1" ht="51" x14ac:dyDescent="0.2">
      <c r="A200" s="742" t="s">
        <v>2528</v>
      </c>
      <c r="B200" s="649"/>
      <c r="C200" s="649" t="s">
        <v>2420</v>
      </c>
      <c r="D200" s="743" t="s">
        <v>2533</v>
      </c>
      <c r="E200" s="743" t="s">
        <v>2530</v>
      </c>
      <c r="F200" s="728">
        <v>0</v>
      </c>
      <c r="G200" s="729">
        <v>0</v>
      </c>
      <c r="H200" s="729">
        <v>0</v>
      </c>
      <c r="I200" s="729">
        <v>0</v>
      </c>
      <c r="J200" s="729">
        <v>0</v>
      </c>
      <c r="K200" s="729">
        <v>0</v>
      </c>
      <c r="L200" s="729">
        <v>0</v>
      </c>
      <c r="M200" s="729">
        <v>0</v>
      </c>
      <c r="N200" s="729">
        <v>0</v>
      </c>
      <c r="O200" s="729">
        <v>0</v>
      </c>
      <c r="P200" s="729">
        <v>0</v>
      </c>
      <c r="Q200" s="729">
        <v>0</v>
      </c>
      <c r="R200" s="729">
        <v>0</v>
      </c>
      <c r="S200" s="730">
        <f t="shared" si="15"/>
        <v>0</v>
      </c>
      <c r="T200" s="749">
        <f t="shared" ca="1" si="13"/>
        <v>-269</v>
      </c>
      <c r="U200" s="732">
        <v>44113</v>
      </c>
      <c r="V200" s="733" t="s">
        <v>2531</v>
      </c>
      <c r="W200" s="751"/>
      <c r="X200" s="735"/>
      <c r="Y200" s="735"/>
      <c r="Z200" s="735"/>
      <c r="AA200" s="735"/>
      <c r="AB200" s="735"/>
      <c r="AC200" s="740"/>
      <c r="AD200" s="736">
        <v>43748</v>
      </c>
      <c r="AE200" s="750">
        <f t="shared" ca="1" si="14"/>
        <v>-1558</v>
      </c>
      <c r="AF200" s="649" t="s">
        <v>2385</v>
      </c>
    </row>
    <row r="201" spans="1:32" s="745" customFormat="1" ht="51" x14ac:dyDescent="0.2">
      <c r="A201" s="742" t="s">
        <v>2528</v>
      </c>
      <c r="B201" s="649"/>
      <c r="C201" s="649" t="s">
        <v>2420</v>
      </c>
      <c r="D201" s="743" t="s">
        <v>2534</v>
      </c>
      <c r="E201" s="743" t="s">
        <v>2530</v>
      </c>
      <c r="F201" s="728">
        <v>0</v>
      </c>
      <c r="G201" s="729">
        <v>0</v>
      </c>
      <c r="H201" s="729">
        <v>0</v>
      </c>
      <c r="I201" s="729">
        <v>0</v>
      </c>
      <c r="J201" s="729">
        <v>0</v>
      </c>
      <c r="K201" s="729">
        <v>0</v>
      </c>
      <c r="L201" s="729">
        <v>0</v>
      </c>
      <c r="M201" s="729">
        <v>0</v>
      </c>
      <c r="N201" s="729">
        <v>0</v>
      </c>
      <c r="O201" s="729">
        <v>0</v>
      </c>
      <c r="P201" s="729">
        <v>0</v>
      </c>
      <c r="Q201" s="729">
        <v>0</v>
      </c>
      <c r="R201" s="729">
        <v>0</v>
      </c>
      <c r="S201" s="730">
        <f t="shared" si="15"/>
        <v>0</v>
      </c>
      <c r="T201" s="749">
        <f t="shared" ca="1" si="13"/>
        <v>-269</v>
      </c>
      <c r="U201" s="732">
        <v>44113</v>
      </c>
      <c r="V201" s="733" t="s">
        <v>2531</v>
      </c>
      <c r="W201" s="751"/>
      <c r="X201" s="735"/>
      <c r="Y201" s="735"/>
      <c r="Z201" s="735"/>
      <c r="AA201" s="735"/>
      <c r="AB201" s="735"/>
      <c r="AC201" s="740"/>
      <c r="AD201" s="736">
        <v>43748</v>
      </c>
      <c r="AE201" s="750">
        <f t="shared" ca="1" si="14"/>
        <v>-1558</v>
      </c>
      <c r="AF201" s="649" t="s">
        <v>2385</v>
      </c>
    </row>
    <row r="202" spans="1:32" s="745" customFormat="1" ht="51" x14ac:dyDescent="0.2">
      <c r="A202" s="742" t="s">
        <v>2528</v>
      </c>
      <c r="B202" s="649"/>
      <c r="C202" s="649" t="s">
        <v>2420</v>
      </c>
      <c r="D202" s="743" t="s">
        <v>2535</v>
      </c>
      <c r="E202" s="743" t="s">
        <v>2530</v>
      </c>
      <c r="F202" s="728">
        <v>0</v>
      </c>
      <c r="G202" s="729">
        <v>0</v>
      </c>
      <c r="H202" s="729">
        <v>0</v>
      </c>
      <c r="I202" s="729">
        <v>0</v>
      </c>
      <c r="J202" s="729">
        <v>0</v>
      </c>
      <c r="K202" s="729">
        <v>0</v>
      </c>
      <c r="L202" s="729">
        <v>0</v>
      </c>
      <c r="M202" s="729">
        <v>0</v>
      </c>
      <c r="N202" s="729">
        <v>0</v>
      </c>
      <c r="O202" s="729">
        <v>0</v>
      </c>
      <c r="P202" s="729">
        <v>0</v>
      </c>
      <c r="Q202" s="729">
        <v>0</v>
      </c>
      <c r="R202" s="729">
        <v>0</v>
      </c>
      <c r="S202" s="730">
        <f t="shared" si="15"/>
        <v>0</v>
      </c>
      <c r="T202" s="749">
        <f t="shared" ca="1" si="13"/>
        <v>-269</v>
      </c>
      <c r="U202" s="732">
        <v>44113</v>
      </c>
      <c r="V202" s="733" t="s">
        <v>2531</v>
      </c>
      <c r="W202" s="751"/>
      <c r="X202" s="735"/>
      <c r="Y202" s="735"/>
      <c r="Z202" s="735"/>
      <c r="AA202" s="735"/>
      <c r="AB202" s="735"/>
      <c r="AC202" s="740"/>
      <c r="AD202" s="736">
        <v>43748</v>
      </c>
      <c r="AE202" s="750">
        <f t="shared" ca="1" si="14"/>
        <v>-1558</v>
      </c>
      <c r="AF202" s="649" t="s">
        <v>2385</v>
      </c>
    </row>
    <row r="203" spans="1:32" s="745" customFormat="1" ht="51" x14ac:dyDescent="0.2">
      <c r="A203" s="742" t="s">
        <v>2528</v>
      </c>
      <c r="B203" s="649"/>
      <c r="C203" s="649" t="s">
        <v>2420</v>
      </c>
      <c r="D203" s="743" t="s">
        <v>2536</v>
      </c>
      <c r="E203" s="743" t="s">
        <v>2530</v>
      </c>
      <c r="F203" s="728">
        <v>0</v>
      </c>
      <c r="G203" s="729">
        <v>0</v>
      </c>
      <c r="H203" s="729">
        <v>0</v>
      </c>
      <c r="I203" s="729">
        <v>0</v>
      </c>
      <c r="J203" s="729">
        <v>0</v>
      </c>
      <c r="K203" s="729">
        <v>0</v>
      </c>
      <c r="L203" s="729">
        <v>0</v>
      </c>
      <c r="M203" s="729">
        <v>0</v>
      </c>
      <c r="N203" s="729">
        <v>0</v>
      </c>
      <c r="O203" s="729">
        <v>0</v>
      </c>
      <c r="P203" s="729">
        <v>0</v>
      </c>
      <c r="Q203" s="729">
        <v>0</v>
      </c>
      <c r="R203" s="729">
        <v>0</v>
      </c>
      <c r="S203" s="730">
        <f t="shared" si="15"/>
        <v>0</v>
      </c>
      <c r="T203" s="749">
        <f t="shared" ca="1" si="13"/>
        <v>-269</v>
      </c>
      <c r="U203" s="732">
        <v>44113</v>
      </c>
      <c r="V203" s="733" t="s">
        <v>2531</v>
      </c>
      <c r="W203" s="751"/>
      <c r="X203" s="735"/>
      <c r="Y203" s="735"/>
      <c r="Z203" s="735"/>
      <c r="AA203" s="735"/>
      <c r="AB203" s="735"/>
      <c r="AC203" s="740"/>
      <c r="AD203" s="736">
        <v>43748</v>
      </c>
      <c r="AE203" s="750">
        <f t="shared" ca="1" si="14"/>
        <v>-1558</v>
      </c>
      <c r="AF203" s="649" t="s">
        <v>2385</v>
      </c>
    </row>
    <row r="204" spans="1:32" s="745" customFormat="1" ht="51" x14ac:dyDescent="0.2">
      <c r="A204" s="742" t="s">
        <v>2528</v>
      </c>
      <c r="B204" s="649"/>
      <c r="C204" s="649" t="s">
        <v>2420</v>
      </c>
      <c r="D204" s="743" t="s">
        <v>2537</v>
      </c>
      <c r="E204" s="743" t="s">
        <v>2530</v>
      </c>
      <c r="F204" s="728">
        <v>0</v>
      </c>
      <c r="G204" s="729">
        <v>0</v>
      </c>
      <c r="H204" s="729">
        <v>0</v>
      </c>
      <c r="I204" s="729">
        <v>0</v>
      </c>
      <c r="J204" s="729">
        <v>0</v>
      </c>
      <c r="K204" s="729">
        <v>0</v>
      </c>
      <c r="L204" s="729">
        <v>0</v>
      </c>
      <c r="M204" s="729">
        <v>0</v>
      </c>
      <c r="N204" s="729">
        <v>0</v>
      </c>
      <c r="O204" s="729">
        <v>0</v>
      </c>
      <c r="P204" s="729">
        <v>0</v>
      </c>
      <c r="Q204" s="729">
        <v>0</v>
      </c>
      <c r="R204" s="729">
        <v>0</v>
      </c>
      <c r="S204" s="730">
        <f t="shared" si="15"/>
        <v>0</v>
      </c>
      <c r="T204" s="749">
        <f t="shared" ca="1" si="13"/>
        <v>-269</v>
      </c>
      <c r="U204" s="732">
        <v>44113</v>
      </c>
      <c r="V204" s="733" t="s">
        <v>2531</v>
      </c>
      <c r="W204" s="751"/>
      <c r="X204" s="735"/>
      <c r="Y204" s="735"/>
      <c r="Z204" s="735"/>
      <c r="AA204" s="735"/>
      <c r="AB204" s="735"/>
      <c r="AC204" s="740"/>
      <c r="AD204" s="736">
        <v>43748</v>
      </c>
      <c r="AE204" s="750">
        <f t="shared" ca="1" si="14"/>
        <v>-1558</v>
      </c>
      <c r="AF204" s="649" t="s">
        <v>2385</v>
      </c>
    </row>
    <row r="205" spans="1:32" s="745" customFormat="1" ht="51" x14ac:dyDescent="0.2">
      <c r="A205" s="742" t="s">
        <v>2528</v>
      </c>
      <c r="B205" s="649"/>
      <c r="C205" s="649" t="s">
        <v>2420</v>
      </c>
      <c r="D205" s="743" t="s">
        <v>2538</v>
      </c>
      <c r="E205" s="743" t="s">
        <v>2530</v>
      </c>
      <c r="F205" s="728">
        <v>0</v>
      </c>
      <c r="G205" s="729">
        <v>0</v>
      </c>
      <c r="H205" s="729">
        <v>0</v>
      </c>
      <c r="I205" s="729">
        <v>0</v>
      </c>
      <c r="J205" s="729">
        <v>0</v>
      </c>
      <c r="K205" s="729">
        <v>0</v>
      </c>
      <c r="L205" s="729">
        <v>0</v>
      </c>
      <c r="M205" s="729">
        <v>0</v>
      </c>
      <c r="N205" s="729">
        <v>0</v>
      </c>
      <c r="O205" s="729">
        <v>0</v>
      </c>
      <c r="P205" s="729">
        <v>0</v>
      </c>
      <c r="Q205" s="729">
        <v>0</v>
      </c>
      <c r="R205" s="729">
        <v>0</v>
      </c>
      <c r="S205" s="730">
        <f t="shared" si="15"/>
        <v>0</v>
      </c>
      <c r="T205" s="749">
        <f t="shared" ca="1" si="13"/>
        <v>-269</v>
      </c>
      <c r="U205" s="732">
        <v>44113</v>
      </c>
      <c r="V205" s="733" t="s">
        <v>2531</v>
      </c>
      <c r="W205" s="751"/>
      <c r="X205" s="735"/>
      <c r="Y205" s="735"/>
      <c r="Z205" s="735"/>
      <c r="AA205" s="735"/>
      <c r="AB205" s="735"/>
      <c r="AC205" s="740"/>
      <c r="AD205" s="736">
        <v>43748</v>
      </c>
      <c r="AE205" s="750">
        <f t="shared" ca="1" si="14"/>
        <v>-1558</v>
      </c>
      <c r="AF205" s="649" t="s">
        <v>2385</v>
      </c>
    </row>
    <row r="206" spans="1:32" s="745" customFormat="1" ht="51" x14ac:dyDescent="0.2">
      <c r="A206" s="742" t="s">
        <v>2528</v>
      </c>
      <c r="B206" s="649"/>
      <c r="C206" s="649" t="s">
        <v>2420</v>
      </c>
      <c r="D206" s="743" t="s">
        <v>2539</v>
      </c>
      <c r="E206" s="743" t="s">
        <v>2530</v>
      </c>
      <c r="F206" s="728">
        <v>0</v>
      </c>
      <c r="G206" s="729">
        <v>0</v>
      </c>
      <c r="H206" s="729">
        <v>0</v>
      </c>
      <c r="I206" s="729">
        <v>0</v>
      </c>
      <c r="J206" s="729">
        <v>0</v>
      </c>
      <c r="K206" s="729">
        <v>0</v>
      </c>
      <c r="L206" s="729">
        <v>0</v>
      </c>
      <c r="M206" s="729">
        <v>0</v>
      </c>
      <c r="N206" s="729">
        <v>0</v>
      </c>
      <c r="O206" s="729">
        <v>0</v>
      </c>
      <c r="P206" s="729">
        <v>0</v>
      </c>
      <c r="Q206" s="729">
        <v>0</v>
      </c>
      <c r="R206" s="729">
        <v>0</v>
      </c>
      <c r="S206" s="730">
        <f t="shared" si="15"/>
        <v>0</v>
      </c>
      <c r="T206" s="749">
        <f t="shared" ca="1" si="13"/>
        <v>-269</v>
      </c>
      <c r="U206" s="732">
        <v>44113</v>
      </c>
      <c r="V206" s="733" t="s">
        <v>2531</v>
      </c>
      <c r="W206" s="751"/>
      <c r="X206" s="735"/>
      <c r="Y206" s="735"/>
      <c r="Z206" s="735"/>
      <c r="AA206" s="735"/>
      <c r="AB206" s="735"/>
      <c r="AC206" s="740"/>
      <c r="AD206" s="736">
        <v>43748</v>
      </c>
      <c r="AE206" s="750">
        <f t="shared" ca="1" si="14"/>
        <v>-1558</v>
      </c>
      <c r="AF206" s="649" t="s">
        <v>2385</v>
      </c>
    </row>
    <row r="207" spans="1:32" s="745" customFormat="1" ht="51" x14ac:dyDescent="0.2">
      <c r="A207" s="742" t="s">
        <v>2528</v>
      </c>
      <c r="B207" s="649"/>
      <c r="C207" s="649" t="s">
        <v>2420</v>
      </c>
      <c r="D207" s="743" t="s">
        <v>2540</v>
      </c>
      <c r="E207" s="743" t="s">
        <v>2530</v>
      </c>
      <c r="F207" s="728">
        <v>0</v>
      </c>
      <c r="G207" s="729">
        <v>0</v>
      </c>
      <c r="H207" s="729">
        <v>0</v>
      </c>
      <c r="I207" s="729">
        <v>0</v>
      </c>
      <c r="J207" s="729">
        <v>0</v>
      </c>
      <c r="K207" s="729">
        <v>0</v>
      </c>
      <c r="L207" s="729">
        <v>0</v>
      </c>
      <c r="M207" s="729">
        <v>0</v>
      </c>
      <c r="N207" s="729">
        <v>0</v>
      </c>
      <c r="O207" s="729">
        <v>0</v>
      </c>
      <c r="P207" s="729">
        <v>0</v>
      </c>
      <c r="Q207" s="729">
        <v>0</v>
      </c>
      <c r="R207" s="729">
        <v>0</v>
      </c>
      <c r="S207" s="730">
        <f t="shared" si="15"/>
        <v>0</v>
      </c>
      <c r="T207" s="749">
        <f t="shared" ca="1" si="13"/>
        <v>-269</v>
      </c>
      <c r="U207" s="732">
        <v>44113</v>
      </c>
      <c r="V207" s="733" t="s">
        <v>2531</v>
      </c>
      <c r="W207" s="751"/>
      <c r="X207" s="735"/>
      <c r="Y207" s="735"/>
      <c r="Z207" s="735"/>
      <c r="AA207" s="735"/>
      <c r="AB207" s="735"/>
      <c r="AC207" s="740"/>
      <c r="AD207" s="736">
        <v>43748</v>
      </c>
      <c r="AE207" s="750">
        <f t="shared" ca="1" si="14"/>
        <v>-1558</v>
      </c>
      <c r="AF207" s="649" t="s">
        <v>2385</v>
      </c>
    </row>
    <row r="208" spans="1:32" s="745" customFormat="1" x14ac:dyDescent="0.2">
      <c r="A208" s="742"/>
      <c r="B208" s="649"/>
      <c r="C208" s="649"/>
      <c r="D208" s="743"/>
      <c r="E208" s="743"/>
      <c r="F208" s="728"/>
      <c r="G208" s="729"/>
      <c r="H208" s="729"/>
      <c r="I208" s="729"/>
      <c r="J208" s="729"/>
      <c r="K208" s="729"/>
      <c r="L208" s="729"/>
      <c r="M208" s="729"/>
      <c r="N208" s="729"/>
      <c r="O208" s="729"/>
      <c r="P208" s="729"/>
      <c r="Q208" s="729"/>
      <c r="R208" s="729"/>
      <c r="S208" s="730">
        <f t="shared" ref="S208:S220" si="16">SUM(G208:R208)</f>
        <v>0</v>
      </c>
      <c r="T208" s="749">
        <f t="shared" ref="T208:T220" ca="1" si="17">U208-$AE$3</f>
        <v>-44382</v>
      </c>
      <c r="U208" s="732"/>
      <c r="V208" s="733"/>
      <c r="W208" s="751"/>
      <c r="X208" s="735"/>
      <c r="Y208" s="735"/>
      <c r="Z208" s="735"/>
      <c r="AA208" s="735"/>
      <c r="AB208" s="735"/>
      <c r="AC208" s="740"/>
      <c r="AD208" s="736"/>
      <c r="AE208" s="750">
        <f t="shared" ref="AE208:AE220" ca="1" si="18">TODAY()-DATE(YEAR(AD208)+6,MONTH(AD208),DAY(AD208))</f>
        <v>42190</v>
      </c>
      <c r="AF208" s="649"/>
    </row>
    <row r="209" spans="1:32" s="745" customFormat="1" x14ac:dyDescent="0.2">
      <c r="A209" s="742"/>
      <c r="B209" s="649"/>
      <c r="C209" s="649"/>
      <c r="D209" s="743"/>
      <c r="E209" s="743"/>
      <c r="F209" s="728"/>
      <c r="G209" s="729"/>
      <c r="H209" s="729"/>
      <c r="I209" s="729"/>
      <c r="J209" s="729"/>
      <c r="K209" s="729"/>
      <c r="L209" s="729"/>
      <c r="M209" s="729"/>
      <c r="N209" s="729"/>
      <c r="O209" s="729"/>
      <c r="P209" s="729"/>
      <c r="Q209" s="729"/>
      <c r="R209" s="729"/>
      <c r="S209" s="730">
        <f t="shared" si="16"/>
        <v>0</v>
      </c>
      <c r="T209" s="749">
        <f t="shared" ca="1" si="17"/>
        <v>-44382</v>
      </c>
      <c r="U209" s="732"/>
      <c r="V209" s="733"/>
      <c r="W209" s="751"/>
      <c r="X209" s="735"/>
      <c r="Y209" s="735"/>
      <c r="Z209" s="735"/>
      <c r="AA209" s="735"/>
      <c r="AB209" s="735"/>
      <c r="AC209" s="740"/>
      <c r="AD209" s="736"/>
      <c r="AE209" s="750">
        <f t="shared" ca="1" si="18"/>
        <v>42190</v>
      </c>
      <c r="AF209" s="649"/>
    </row>
    <row r="210" spans="1:32" s="745" customFormat="1" x14ac:dyDescent="0.2">
      <c r="A210" s="742"/>
      <c r="B210" s="649"/>
      <c r="C210" s="649"/>
      <c r="D210" s="743"/>
      <c r="E210" s="743"/>
      <c r="F210" s="728"/>
      <c r="G210" s="729"/>
      <c r="H210" s="729"/>
      <c r="I210" s="729"/>
      <c r="J210" s="729"/>
      <c r="K210" s="729"/>
      <c r="L210" s="729"/>
      <c r="M210" s="729"/>
      <c r="N210" s="729"/>
      <c r="O210" s="729"/>
      <c r="P210" s="729"/>
      <c r="Q210" s="729"/>
      <c r="R210" s="729"/>
      <c r="S210" s="730">
        <f t="shared" si="16"/>
        <v>0</v>
      </c>
      <c r="T210" s="749">
        <f t="shared" ca="1" si="17"/>
        <v>-44382</v>
      </c>
      <c r="U210" s="732"/>
      <c r="V210" s="733"/>
      <c r="W210" s="751"/>
      <c r="X210" s="735"/>
      <c r="Y210" s="735"/>
      <c r="Z210" s="735"/>
      <c r="AA210" s="735"/>
      <c r="AB210" s="735"/>
      <c r="AC210" s="740"/>
      <c r="AD210" s="736"/>
      <c r="AE210" s="750">
        <f t="shared" ca="1" si="18"/>
        <v>42190</v>
      </c>
      <c r="AF210" s="649"/>
    </row>
    <row r="211" spans="1:32" s="745" customFormat="1" x14ac:dyDescent="0.2">
      <c r="A211" s="742"/>
      <c r="B211" s="649"/>
      <c r="C211" s="649"/>
      <c r="D211" s="743"/>
      <c r="E211" s="743"/>
      <c r="F211" s="728"/>
      <c r="G211" s="729"/>
      <c r="H211" s="729"/>
      <c r="I211" s="729"/>
      <c r="J211" s="729"/>
      <c r="K211" s="729"/>
      <c r="L211" s="729"/>
      <c r="M211" s="729"/>
      <c r="N211" s="729"/>
      <c r="O211" s="729"/>
      <c r="P211" s="729"/>
      <c r="Q211" s="729"/>
      <c r="R211" s="729"/>
      <c r="S211" s="730">
        <f t="shared" si="16"/>
        <v>0</v>
      </c>
      <c r="T211" s="749">
        <f t="shared" ca="1" si="17"/>
        <v>-44382</v>
      </c>
      <c r="U211" s="732"/>
      <c r="V211" s="733"/>
      <c r="W211" s="751"/>
      <c r="X211" s="735"/>
      <c r="Y211" s="735"/>
      <c r="Z211" s="735"/>
      <c r="AA211" s="735"/>
      <c r="AB211" s="735"/>
      <c r="AC211" s="740"/>
      <c r="AD211" s="736"/>
      <c r="AE211" s="750">
        <f t="shared" ca="1" si="18"/>
        <v>42190</v>
      </c>
      <c r="AF211" s="649"/>
    </row>
    <row r="212" spans="1:32" s="745" customFormat="1" x14ac:dyDescent="0.2">
      <c r="A212" s="742"/>
      <c r="B212" s="649"/>
      <c r="C212" s="649"/>
      <c r="D212" s="743"/>
      <c r="E212" s="743"/>
      <c r="F212" s="728"/>
      <c r="G212" s="729"/>
      <c r="H212" s="729"/>
      <c r="I212" s="729"/>
      <c r="J212" s="729"/>
      <c r="K212" s="729"/>
      <c r="L212" s="729"/>
      <c r="M212" s="729"/>
      <c r="N212" s="729"/>
      <c r="O212" s="729"/>
      <c r="P212" s="729"/>
      <c r="Q212" s="729"/>
      <c r="R212" s="729"/>
      <c r="S212" s="730">
        <f t="shared" si="16"/>
        <v>0</v>
      </c>
      <c r="T212" s="749">
        <f t="shared" ca="1" si="17"/>
        <v>-44382</v>
      </c>
      <c r="U212" s="732"/>
      <c r="V212" s="733"/>
      <c r="W212" s="751"/>
      <c r="X212" s="735"/>
      <c r="Y212" s="735"/>
      <c r="Z212" s="735"/>
      <c r="AA212" s="735"/>
      <c r="AB212" s="735"/>
      <c r="AC212" s="740"/>
      <c r="AD212" s="736"/>
      <c r="AE212" s="750">
        <f t="shared" ca="1" si="18"/>
        <v>42190</v>
      </c>
      <c r="AF212" s="649"/>
    </row>
    <row r="213" spans="1:32" s="745" customFormat="1" x14ac:dyDescent="0.2">
      <c r="A213" s="742"/>
      <c r="B213" s="649"/>
      <c r="C213" s="649"/>
      <c r="D213" s="743"/>
      <c r="E213" s="743"/>
      <c r="F213" s="728"/>
      <c r="G213" s="729"/>
      <c r="H213" s="729"/>
      <c r="I213" s="729"/>
      <c r="J213" s="729"/>
      <c r="K213" s="729"/>
      <c r="L213" s="729"/>
      <c r="M213" s="729"/>
      <c r="N213" s="729"/>
      <c r="O213" s="729"/>
      <c r="P213" s="729"/>
      <c r="Q213" s="729"/>
      <c r="R213" s="729"/>
      <c r="S213" s="730">
        <f t="shared" si="16"/>
        <v>0</v>
      </c>
      <c r="T213" s="749">
        <f t="shared" ca="1" si="17"/>
        <v>-44382</v>
      </c>
      <c r="U213" s="732"/>
      <c r="V213" s="733"/>
      <c r="W213" s="751"/>
      <c r="X213" s="735"/>
      <c r="Y213" s="735"/>
      <c r="Z213" s="735"/>
      <c r="AA213" s="735"/>
      <c r="AB213" s="735"/>
      <c r="AC213" s="740"/>
      <c r="AD213" s="736"/>
      <c r="AE213" s="750">
        <f t="shared" ca="1" si="18"/>
        <v>42190</v>
      </c>
      <c r="AF213" s="649"/>
    </row>
    <row r="214" spans="1:32" s="745" customFormat="1" x14ac:dyDescent="0.2">
      <c r="A214" s="742"/>
      <c r="B214" s="649"/>
      <c r="C214" s="649"/>
      <c r="D214" s="743"/>
      <c r="E214" s="743"/>
      <c r="F214" s="728"/>
      <c r="G214" s="729"/>
      <c r="H214" s="729"/>
      <c r="I214" s="729"/>
      <c r="J214" s="729"/>
      <c r="K214" s="729"/>
      <c r="L214" s="729"/>
      <c r="M214" s="729"/>
      <c r="N214" s="729"/>
      <c r="O214" s="729"/>
      <c r="P214" s="729"/>
      <c r="Q214" s="729"/>
      <c r="R214" s="729"/>
      <c r="S214" s="730">
        <f t="shared" si="16"/>
        <v>0</v>
      </c>
      <c r="T214" s="749">
        <f t="shared" ca="1" si="17"/>
        <v>-44382</v>
      </c>
      <c r="U214" s="732"/>
      <c r="V214" s="733"/>
      <c r="W214" s="751"/>
      <c r="X214" s="735"/>
      <c r="Y214" s="735"/>
      <c r="Z214" s="735"/>
      <c r="AA214" s="735"/>
      <c r="AB214" s="735"/>
      <c r="AC214" s="740"/>
      <c r="AD214" s="736"/>
      <c r="AE214" s="750">
        <f t="shared" ca="1" si="18"/>
        <v>42190</v>
      </c>
      <c r="AF214" s="649"/>
    </row>
    <row r="215" spans="1:32" s="745" customFormat="1" x14ac:dyDescent="0.2">
      <c r="A215" s="742"/>
      <c r="B215" s="649"/>
      <c r="C215" s="649"/>
      <c r="D215" s="743"/>
      <c r="E215" s="743"/>
      <c r="F215" s="728"/>
      <c r="G215" s="729"/>
      <c r="H215" s="729"/>
      <c r="I215" s="729"/>
      <c r="J215" s="729"/>
      <c r="K215" s="729"/>
      <c r="L215" s="729"/>
      <c r="M215" s="729"/>
      <c r="N215" s="729"/>
      <c r="O215" s="729"/>
      <c r="P215" s="729"/>
      <c r="Q215" s="729"/>
      <c r="R215" s="729"/>
      <c r="S215" s="730">
        <f t="shared" si="16"/>
        <v>0</v>
      </c>
      <c r="T215" s="749">
        <f t="shared" ca="1" si="17"/>
        <v>-44382</v>
      </c>
      <c r="U215" s="732"/>
      <c r="V215" s="733"/>
      <c r="W215" s="751"/>
      <c r="X215" s="735"/>
      <c r="Y215" s="735"/>
      <c r="Z215" s="735"/>
      <c r="AA215" s="735"/>
      <c r="AB215" s="735"/>
      <c r="AC215" s="740"/>
      <c r="AD215" s="736"/>
      <c r="AE215" s="750">
        <f t="shared" ca="1" si="18"/>
        <v>42190</v>
      </c>
      <c r="AF215" s="649"/>
    </row>
    <row r="216" spans="1:32" s="745" customFormat="1" x14ac:dyDescent="0.2">
      <c r="A216" s="742"/>
      <c r="B216" s="649"/>
      <c r="C216" s="649"/>
      <c r="D216" s="743"/>
      <c r="E216" s="743"/>
      <c r="F216" s="728"/>
      <c r="G216" s="729"/>
      <c r="H216" s="729"/>
      <c r="I216" s="729"/>
      <c r="J216" s="729"/>
      <c r="K216" s="729"/>
      <c r="L216" s="729"/>
      <c r="M216" s="729"/>
      <c r="N216" s="729"/>
      <c r="O216" s="729"/>
      <c r="P216" s="729"/>
      <c r="Q216" s="729"/>
      <c r="R216" s="729"/>
      <c r="S216" s="730">
        <f t="shared" si="16"/>
        <v>0</v>
      </c>
      <c r="T216" s="749">
        <f t="shared" ca="1" si="17"/>
        <v>-44382</v>
      </c>
      <c r="U216" s="732"/>
      <c r="V216" s="733"/>
      <c r="W216" s="751"/>
      <c r="X216" s="735"/>
      <c r="Y216" s="735"/>
      <c r="Z216" s="735"/>
      <c r="AA216" s="735"/>
      <c r="AB216" s="735"/>
      <c r="AC216" s="740"/>
      <c r="AD216" s="736"/>
      <c r="AE216" s="750">
        <f t="shared" ca="1" si="18"/>
        <v>42190</v>
      </c>
      <c r="AF216" s="649"/>
    </row>
    <row r="217" spans="1:32" s="745" customFormat="1" x14ac:dyDescent="0.2">
      <c r="A217" s="742"/>
      <c r="B217" s="649"/>
      <c r="C217" s="649"/>
      <c r="D217" s="743"/>
      <c r="E217" s="743"/>
      <c r="F217" s="728"/>
      <c r="G217" s="729"/>
      <c r="H217" s="729"/>
      <c r="I217" s="729"/>
      <c r="J217" s="729"/>
      <c r="K217" s="729"/>
      <c r="L217" s="729"/>
      <c r="M217" s="729"/>
      <c r="N217" s="729"/>
      <c r="O217" s="729"/>
      <c r="P217" s="729"/>
      <c r="Q217" s="729"/>
      <c r="R217" s="729"/>
      <c r="S217" s="730">
        <f t="shared" si="16"/>
        <v>0</v>
      </c>
      <c r="T217" s="749">
        <f t="shared" ca="1" si="17"/>
        <v>-44382</v>
      </c>
      <c r="U217" s="732"/>
      <c r="V217" s="733"/>
      <c r="W217" s="751"/>
      <c r="X217" s="735"/>
      <c r="Y217" s="735"/>
      <c r="Z217" s="735"/>
      <c r="AA217" s="735"/>
      <c r="AB217" s="735"/>
      <c r="AC217" s="740"/>
      <c r="AD217" s="736"/>
      <c r="AE217" s="750">
        <f t="shared" ca="1" si="18"/>
        <v>42190</v>
      </c>
      <c r="AF217" s="649"/>
    </row>
    <row r="218" spans="1:32" s="745" customFormat="1" x14ac:dyDescent="0.2">
      <c r="A218" s="742"/>
      <c r="B218" s="649"/>
      <c r="C218" s="649"/>
      <c r="D218" s="743"/>
      <c r="E218" s="743"/>
      <c r="F218" s="728"/>
      <c r="G218" s="729"/>
      <c r="H218" s="729"/>
      <c r="I218" s="729"/>
      <c r="J218" s="729"/>
      <c r="K218" s="729"/>
      <c r="L218" s="729"/>
      <c r="M218" s="729"/>
      <c r="N218" s="729"/>
      <c r="O218" s="729"/>
      <c r="P218" s="729"/>
      <c r="Q218" s="729"/>
      <c r="R218" s="729"/>
      <c r="S218" s="730">
        <f t="shared" si="16"/>
        <v>0</v>
      </c>
      <c r="T218" s="749">
        <f t="shared" ca="1" si="17"/>
        <v>-44382</v>
      </c>
      <c r="U218" s="732"/>
      <c r="V218" s="733"/>
      <c r="W218" s="751"/>
      <c r="X218" s="735"/>
      <c r="Y218" s="735"/>
      <c r="Z218" s="735"/>
      <c r="AA218" s="735"/>
      <c r="AB218" s="735"/>
      <c r="AC218" s="740"/>
      <c r="AD218" s="736"/>
      <c r="AE218" s="750">
        <f t="shared" ca="1" si="18"/>
        <v>42190</v>
      </c>
      <c r="AF218" s="649"/>
    </row>
    <row r="219" spans="1:32" s="745" customFormat="1" x14ac:dyDescent="0.2">
      <c r="A219" s="742"/>
      <c r="B219" s="649"/>
      <c r="C219" s="649"/>
      <c r="D219" s="743"/>
      <c r="E219" s="743"/>
      <c r="F219" s="728"/>
      <c r="G219" s="729"/>
      <c r="H219" s="729"/>
      <c r="I219" s="729"/>
      <c r="J219" s="729"/>
      <c r="K219" s="729"/>
      <c r="L219" s="729"/>
      <c r="M219" s="729"/>
      <c r="N219" s="729"/>
      <c r="O219" s="729"/>
      <c r="P219" s="729"/>
      <c r="Q219" s="729"/>
      <c r="R219" s="729"/>
      <c r="S219" s="730">
        <f t="shared" si="16"/>
        <v>0</v>
      </c>
      <c r="T219" s="749">
        <f t="shared" ca="1" si="17"/>
        <v>-44382</v>
      </c>
      <c r="U219" s="732"/>
      <c r="V219" s="733"/>
      <c r="W219" s="751"/>
      <c r="X219" s="735"/>
      <c r="Y219" s="735"/>
      <c r="Z219" s="735"/>
      <c r="AA219" s="735"/>
      <c r="AB219" s="735"/>
      <c r="AC219" s="740"/>
      <c r="AD219" s="736"/>
      <c r="AE219" s="750">
        <f t="shared" ca="1" si="18"/>
        <v>42190</v>
      </c>
      <c r="AF219" s="649"/>
    </row>
    <row r="220" spans="1:32" s="745" customFormat="1" x14ac:dyDescent="0.2">
      <c r="A220" s="742"/>
      <c r="B220" s="649"/>
      <c r="C220" s="649"/>
      <c r="D220" s="743"/>
      <c r="E220" s="743"/>
      <c r="F220" s="728"/>
      <c r="G220" s="729"/>
      <c r="H220" s="729"/>
      <c r="I220" s="729"/>
      <c r="J220" s="729"/>
      <c r="K220" s="729"/>
      <c r="L220" s="729"/>
      <c r="M220" s="729"/>
      <c r="N220" s="729"/>
      <c r="O220" s="729"/>
      <c r="P220" s="729"/>
      <c r="Q220" s="729"/>
      <c r="R220" s="729"/>
      <c r="S220" s="730">
        <f t="shared" si="16"/>
        <v>0</v>
      </c>
      <c r="T220" s="749">
        <f t="shared" ca="1" si="17"/>
        <v>-44382</v>
      </c>
      <c r="U220" s="732"/>
      <c r="V220" s="733"/>
      <c r="W220" s="751"/>
      <c r="X220" s="735"/>
      <c r="Y220" s="735"/>
      <c r="Z220" s="735"/>
      <c r="AA220" s="735"/>
      <c r="AB220" s="735"/>
      <c r="AC220" s="740"/>
      <c r="AD220" s="736"/>
      <c r="AE220" s="750">
        <f t="shared" ca="1" si="18"/>
        <v>42190</v>
      </c>
      <c r="AF220" s="649"/>
    </row>
    <row r="221" spans="1:32" s="745" customFormat="1" x14ac:dyDescent="0.2">
      <c r="A221" s="742"/>
      <c r="B221" s="649"/>
      <c r="C221" s="649"/>
      <c r="D221" s="743"/>
      <c r="E221" s="743"/>
      <c r="F221" s="728"/>
      <c r="G221" s="729"/>
      <c r="H221" s="729"/>
      <c r="I221" s="729"/>
      <c r="J221" s="729"/>
      <c r="K221" s="729"/>
      <c r="L221" s="729"/>
      <c r="M221" s="729"/>
      <c r="N221" s="729"/>
      <c r="O221" s="729"/>
      <c r="P221" s="729"/>
      <c r="Q221" s="729"/>
      <c r="R221" s="729"/>
      <c r="S221" s="730">
        <f>SUM(G221:R221)</f>
        <v>0</v>
      </c>
      <c r="T221" s="749">
        <f ca="1">U221-$AE$3</f>
        <v>-44382</v>
      </c>
      <c r="U221" s="732"/>
      <c r="V221" s="733"/>
      <c r="W221" s="751"/>
      <c r="X221" s="735"/>
      <c r="Y221" s="735"/>
      <c r="Z221" s="735"/>
      <c r="AA221" s="735"/>
      <c r="AB221" s="735"/>
      <c r="AC221" s="740"/>
      <c r="AD221" s="736"/>
      <c r="AE221" s="750">
        <f ca="1">TODAY()-DATE(YEAR(AD221)+6,MONTH(AD221),DAY(AD221))</f>
        <v>42190</v>
      </c>
      <c r="AF221" s="649"/>
    </row>
    <row r="222" spans="1:32" s="745" customFormat="1" x14ac:dyDescent="0.2">
      <c r="A222" s="742"/>
      <c r="B222" s="649"/>
      <c r="C222" s="649"/>
      <c r="D222" s="743"/>
      <c r="E222" s="743"/>
      <c r="F222" s="728"/>
      <c r="G222" s="729"/>
      <c r="H222" s="729"/>
      <c r="I222" s="729"/>
      <c r="J222" s="729"/>
      <c r="K222" s="729"/>
      <c r="L222" s="729"/>
      <c r="M222" s="729"/>
      <c r="N222" s="729"/>
      <c r="O222" s="729"/>
      <c r="P222" s="729"/>
      <c r="Q222" s="729"/>
      <c r="R222" s="729"/>
      <c r="S222" s="730">
        <f>SUM(G222:R222)</f>
        <v>0</v>
      </c>
      <c r="T222" s="749">
        <f ca="1">U222-$AE$3</f>
        <v>-44382</v>
      </c>
      <c r="U222" s="732"/>
      <c r="V222" s="733"/>
      <c r="W222" s="751"/>
      <c r="X222" s="735"/>
      <c r="Y222" s="735"/>
      <c r="Z222" s="735"/>
      <c r="AA222" s="735"/>
      <c r="AB222" s="735"/>
      <c r="AC222" s="740"/>
      <c r="AD222" s="736"/>
      <c r="AE222" s="750">
        <f ca="1">TODAY()-DATE(YEAR(AD222)+6,MONTH(AD222),DAY(AD222))</f>
        <v>42190</v>
      </c>
      <c r="AF222" s="649"/>
    </row>
    <row r="223" spans="1:32" s="745" customFormat="1" x14ac:dyDescent="0.2">
      <c r="A223" s="742"/>
      <c r="B223" s="649"/>
      <c r="C223" s="649"/>
      <c r="D223" s="743"/>
      <c r="E223" s="743"/>
      <c r="F223" s="728"/>
      <c r="G223" s="729"/>
      <c r="H223" s="729"/>
      <c r="I223" s="729"/>
      <c r="J223" s="729"/>
      <c r="K223" s="729"/>
      <c r="L223" s="729"/>
      <c r="M223" s="729"/>
      <c r="N223" s="729"/>
      <c r="O223" s="729"/>
      <c r="P223" s="729"/>
      <c r="Q223" s="729"/>
      <c r="R223" s="729"/>
      <c r="S223" s="730">
        <f>SUM(G223:R223)</f>
        <v>0</v>
      </c>
      <c r="T223" s="749">
        <f ca="1">U223-$AE$3</f>
        <v>-44382</v>
      </c>
      <c r="U223" s="732"/>
      <c r="V223" s="733"/>
      <c r="W223" s="751"/>
      <c r="X223" s="735"/>
      <c r="Y223" s="735"/>
      <c r="Z223" s="735"/>
      <c r="AA223" s="735"/>
      <c r="AB223" s="735"/>
      <c r="AC223" s="740"/>
      <c r="AD223" s="736"/>
      <c r="AE223" s="750">
        <f ca="1">TODAY()-DATE(YEAR(AD223)+6,MONTH(AD223),DAY(AD223))</f>
        <v>42190</v>
      </c>
      <c r="AF223" s="649"/>
    </row>
    <row r="224" spans="1:32" x14ac:dyDescent="0.2">
      <c r="D224" s="752" t="s">
        <v>1083</v>
      </c>
      <c r="E224" s="752" t="s">
        <v>1075</v>
      </c>
    </row>
    <row r="225" spans="4:5" x14ac:dyDescent="0.2">
      <c r="D225" s="752" t="s">
        <v>1084</v>
      </c>
      <c r="E225" s="753" t="s">
        <v>1076</v>
      </c>
    </row>
    <row r="226" spans="4:5" x14ac:dyDescent="0.2">
      <c r="D226" s="752" t="s">
        <v>1085</v>
      </c>
      <c r="E226" s="753" t="s">
        <v>1077</v>
      </c>
    </row>
    <row r="227" spans="4:5" x14ac:dyDescent="0.2">
      <c r="D227" s="754" t="s">
        <v>1086</v>
      </c>
      <c r="E227" s="753" t="s">
        <v>1078</v>
      </c>
    </row>
    <row r="228" spans="4:5" x14ac:dyDescent="0.2">
      <c r="D228" s="754" t="s">
        <v>1072</v>
      </c>
      <c r="E228" s="753" t="s">
        <v>1079</v>
      </c>
    </row>
    <row r="229" spans="4:5" x14ac:dyDescent="0.2">
      <c r="D229" s="748" t="s">
        <v>1071</v>
      </c>
      <c r="E229" s="753" t="s">
        <v>1080</v>
      </c>
    </row>
    <row r="230" spans="4:5" x14ac:dyDescent="0.2">
      <c r="D230" s="754" t="s">
        <v>1070</v>
      </c>
      <c r="E230" s="752" t="s">
        <v>1081</v>
      </c>
    </row>
    <row r="231" spans="4:5" x14ac:dyDescent="0.2">
      <c r="E231" s="755" t="s">
        <v>1082</v>
      </c>
    </row>
    <row r="232" spans="4:5" x14ac:dyDescent="0.2">
      <c r="E232" s="753" t="s">
        <v>1100</v>
      </c>
    </row>
    <row r="233" spans="4:5" x14ac:dyDescent="0.2">
      <c r="E233" s="753" t="s">
        <v>1860</v>
      </c>
    </row>
  </sheetData>
  <mergeCells count="16">
    <mergeCell ref="V4:V5"/>
    <mergeCell ref="W4:W5"/>
    <mergeCell ref="X4:AB4"/>
    <mergeCell ref="AC4:AC5"/>
    <mergeCell ref="AD4:AD5"/>
    <mergeCell ref="U4:U5"/>
    <mergeCell ref="AF4:AF5"/>
    <mergeCell ref="V3:W3"/>
    <mergeCell ref="A4:A5"/>
    <mergeCell ref="B4:B5"/>
    <mergeCell ref="C4:C5"/>
    <mergeCell ref="D4:D5"/>
    <mergeCell ref="E4:E5"/>
    <mergeCell ref="F4:F5"/>
    <mergeCell ref="G4:S4"/>
    <mergeCell ref="T4:T5"/>
  </mergeCells>
  <pageMargins left="0.511811024" right="0.511811024" top="0.78740157499999996" bottom="0.78740157499999996" header="0.31496062000000002" footer="0.31496062000000002"/>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8"/>
  <sheetViews>
    <sheetView zoomScale="87" zoomScaleNormal="87" zoomScaleSheetLayoutView="100" workbookViewId="0">
      <pane ySplit="3" topLeftCell="A256" activePane="bottomLeft" state="frozen"/>
      <selection pane="bottomLeft" activeCell="B257" sqref="B257"/>
    </sheetView>
  </sheetViews>
  <sheetFormatPr defaultRowHeight="12.75" x14ac:dyDescent="0.2"/>
  <cols>
    <col min="1" max="1" width="17.42578125" style="847" customWidth="1"/>
    <col min="2" max="2" width="16.85546875" style="847" bestFit="1" customWidth="1"/>
    <col min="3" max="3" width="29.140625" style="847" customWidth="1"/>
    <col min="4" max="4" width="42.140625" style="847" customWidth="1"/>
    <col min="5" max="5" width="18.5703125" style="847" bestFit="1" customWidth="1"/>
    <col min="6" max="6" width="14" style="847" customWidth="1"/>
    <col min="7" max="7" width="37.140625" style="847" customWidth="1"/>
    <col min="8" max="8" width="19.5703125" style="849" bestFit="1" customWidth="1"/>
    <col min="9" max="9" width="12.85546875" style="847" customWidth="1"/>
    <col min="10" max="10" width="27.28515625" style="847" customWidth="1"/>
    <col min="11" max="16384" width="9.140625" style="847"/>
  </cols>
  <sheetData>
    <row r="1" spans="1:14" ht="13.5" thickBot="1" x14ac:dyDescent="0.25"/>
    <row r="2" spans="1:14" ht="14.25" customHeight="1" x14ac:dyDescent="0.2">
      <c r="A2" s="1028" t="s">
        <v>2</v>
      </c>
      <c r="B2" s="1022" t="s">
        <v>4</v>
      </c>
      <c r="C2" s="1022" t="s">
        <v>5</v>
      </c>
      <c r="D2" s="1022" t="s">
        <v>6</v>
      </c>
      <c r="E2" s="1022" t="s">
        <v>7</v>
      </c>
      <c r="F2" s="1030" t="s">
        <v>8</v>
      </c>
      <c r="G2" s="1022" t="s">
        <v>9</v>
      </c>
      <c r="H2" s="1022" t="s">
        <v>10</v>
      </c>
      <c r="I2" s="1024" t="s">
        <v>243</v>
      </c>
      <c r="J2" s="1026" t="s">
        <v>15</v>
      </c>
    </row>
    <row r="3" spans="1:14" ht="39.75" customHeight="1" thickBot="1" x14ac:dyDescent="0.25">
      <c r="A3" s="1029"/>
      <c r="B3" s="1023"/>
      <c r="C3" s="1023"/>
      <c r="D3" s="1023"/>
      <c r="E3" s="1023"/>
      <c r="F3" s="1031"/>
      <c r="G3" s="1023"/>
      <c r="H3" s="1023"/>
      <c r="I3" s="1025"/>
      <c r="J3" s="1027"/>
    </row>
    <row r="4" spans="1:14" s="859" customFormat="1" ht="25.5" x14ac:dyDescent="0.2">
      <c r="A4" s="851" t="s">
        <v>23</v>
      </c>
      <c r="B4" s="851" t="s">
        <v>24</v>
      </c>
      <c r="C4" s="852" t="s">
        <v>303</v>
      </c>
      <c r="D4" s="852" t="s">
        <v>971</v>
      </c>
      <c r="E4" s="853" t="s">
        <v>972</v>
      </c>
      <c r="F4" s="854" t="s">
        <v>233</v>
      </c>
      <c r="G4" s="855" t="s">
        <v>970</v>
      </c>
      <c r="H4" s="856" t="s">
        <v>727</v>
      </c>
      <c r="I4" s="857">
        <v>41954</v>
      </c>
      <c r="J4" s="851" t="s">
        <v>1788</v>
      </c>
      <c r="K4" s="858"/>
      <c r="L4" s="858"/>
      <c r="M4" s="858"/>
      <c r="N4" s="858"/>
    </row>
    <row r="5" spans="1:14" s="848" customFormat="1" ht="30" customHeight="1" x14ac:dyDescent="0.2">
      <c r="A5" s="860" t="s">
        <v>1065</v>
      </c>
      <c r="B5" s="861" t="s">
        <v>56</v>
      </c>
      <c r="C5" s="862" t="s">
        <v>1066</v>
      </c>
      <c r="D5" s="862" t="s">
        <v>1067</v>
      </c>
      <c r="E5" s="863" t="s">
        <v>2776</v>
      </c>
      <c r="F5" s="864" t="s">
        <v>233</v>
      </c>
      <c r="G5" s="865" t="s">
        <v>1068</v>
      </c>
      <c r="H5" s="866" t="s">
        <v>1088</v>
      </c>
      <c r="I5" s="867">
        <v>40998</v>
      </c>
      <c r="J5" s="861" t="s">
        <v>2379</v>
      </c>
    </row>
    <row r="6" spans="1:14" s="848" customFormat="1" ht="38.25" x14ac:dyDescent="0.2">
      <c r="A6" s="861" t="s">
        <v>23</v>
      </c>
      <c r="B6" s="861" t="s">
        <v>372</v>
      </c>
      <c r="C6" s="862" t="s">
        <v>1022</v>
      </c>
      <c r="D6" s="862" t="s">
        <v>968</v>
      </c>
      <c r="E6" s="863" t="s">
        <v>972</v>
      </c>
      <c r="F6" s="864" t="s">
        <v>233</v>
      </c>
      <c r="G6" s="865" t="s">
        <v>969</v>
      </c>
      <c r="H6" s="869" t="s">
        <v>1014</v>
      </c>
      <c r="I6" s="867">
        <v>36819</v>
      </c>
      <c r="J6" s="861" t="s">
        <v>54</v>
      </c>
    </row>
    <row r="7" spans="1:14" s="870" customFormat="1" ht="24.75" customHeight="1" x14ac:dyDescent="0.2">
      <c r="A7" s="861" t="s">
        <v>215</v>
      </c>
      <c r="B7" s="861" t="s">
        <v>24</v>
      </c>
      <c r="C7" s="862" t="s">
        <v>216</v>
      </c>
      <c r="D7" s="862" t="s">
        <v>1389</v>
      </c>
      <c r="E7" s="863" t="s">
        <v>375</v>
      </c>
      <c r="F7" s="864">
        <v>44894</v>
      </c>
      <c r="G7" s="865" t="s">
        <v>1157</v>
      </c>
      <c r="H7" s="866" t="s">
        <v>757</v>
      </c>
      <c r="I7" s="867">
        <v>41204</v>
      </c>
      <c r="J7" s="861" t="s">
        <v>2313</v>
      </c>
    </row>
    <row r="8" spans="1:14" s="848" customFormat="1" ht="38.25" x14ac:dyDescent="0.2">
      <c r="A8" s="860" t="s">
        <v>1158</v>
      </c>
      <c r="B8" s="861" t="s">
        <v>24</v>
      </c>
      <c r="C8" s="862" t="s">
        <v>1423</v>
      </c>
      <c r="D8" s="862" t="s">
        <v>1160</v>
      </c>
      <c r="E8" s="863">
        <v>13598.16</v>
      </c>
      <c r="F8" s="864">
        <v>43377</v>
      </c>
      <c r="G8" s="865" t="s">
        <v>2085</v>
      </c>
      <c r="H8" s="866" t="s">
        <v>1394</v>
      </c>
      <c r="I8" s="867">
        <v>41186</v>
      </c>
      <c r="J8" s="861" t="s">
        <v>2291</v>
      </c>
    </row>
    <row r="9" spans="1:14" s="848" customFormat="1" ht="25.5" x14ac:dyDescent="0.2">
      <c r="A9" s="860" t="s">
        <v>1722</v>
      </c>
      <c r="B9" s="861" t="s">
        <v>56</v>
      </c>
      <c r="C9" s="862" t="s">
        <v>50</v>
      </c>
      <c r="D9" s="862" t="s">
        <v>1723</v>
      </c>
      <c r="E9" s="863">
        <v>15478.68</v>
      </c>
      <c r="F9" s="864">
        <v>43943</v>
      </c>
      <c r="G9" s="865" t="s">
        <v>2402</v>
      </c>
      <c r="H9" s="866" t="s">
        <v>2558</v>
      </c>
      <c r="I9" s="867">
        <v>42117</v>
      </c>
      <c r="J9" s="861" t="s">
        <v>54</v>
      </c>
    </row>
    <row r="10" spans="1:14" s="848" customFormat="1" ht="25.5" x14ac:dyDescent="0.2">
      <c r="A10" s="868" t="s">
        <v>2578</v>
      </c>
      <c r="B10" s="861" t="s">
        <v>56</v>
      </c>
      <c r="C10" s="862" t="s">
        <v>50</v>
      </c>
      <c r="D10" s="862" t="s">
        <v>2768</v>
      </c>
      <c r="E10" s="863">
        <v>16537.2</v>
      </c>
      <c r="F10" s="864">
        <v>44308</v>
      </c>
      <c r="G10" s="865" t="s">
        <v>2769</v>
      </c>
      <c r="H10" s="866"/>
      <c r="I10" s="867">
        <v>43944</v>
      </c>
      <c r="J10" s="861"/>
    </row>
    <row r="11" spans="1:14" s="848" customFormat="1" ht="51.75" customHeight="1" x14ac:dyDescent="0.2">
      <c r="A11" s="860" t="s">
        <v>1733</v>
      </c>
      <c r="B11" s="861" t="s">
        <v>1734</v>
      </c>
      <c r="C11" s="862" t="s">
        <v>1735</v>
      </c>
      <c r="D11" s="862" t="s">
        <v>1736</v>
      </c>
      <c r="E11" s="863">
        <f>600958.44+50079.87</f>
        <v>651038.30999999994</v>
      </c>
      <c r="F11" s="864">
        <v>44076</v>
      </c>
      <c r="G11" s="865" t="s">
        <v>2700</v>
      </c>
      <c r="H11" s="866"/>
      <c r="I11" s="867">
        <v>43315</v>
      </c>
      <c r="J11" s="861" t="s">
        <v>2291</v>
      </c>
    </row>
    <row r="12" spans="1:14" s="848" customFormat="1" ht="66" customHeight="1" x14ac:dyDescent="0.2">
      <c r="A12" s="868" t="s">
        <v>2763</v>
      </c>
      <c r="B12" s="861" t="s">
        <v>2764</v>
      </c>
      <c r="C12" s="862" t="s">
        <v>1735</v>
      </c>
      <c r="D12" s="862" t="s">
        <v>2762</v>
      </c>
      <c r="E12" s="863">
        <v>406680</v>
      </c>
      <c r="F12" s="864">
        <v>44433</v>
      </c>
      <c r="G12" s="865" t="s">
        <v>2765</v>
      </c>
      <c r="H12" s="866"/>
      <c r="I12" s="867">
        <v>44069</v>
      </c>
      <c r="J12" s="861" t="s">
        <v>2291</v>
      </c>
    </row>
    <row r="13" spans="1:14" s="870" customFormat="1" ht="25.5" x14ac:dyDescent="0.2">
      <c r="A13" s="868" t="s">
        <v>1895</v>
      </c>
      <c r="B13" s="861" t="s">
        <v>2798</v>
      </c>
      <c r="C13" s="862" t="s">
        <v>1897</v>
      </c>
      <c r="D13" s="862" t="s">
        <v>2035</v>
      </c>
      <c r="E13" s="863">
        <v>8190.74</v>
      </c>
      <c r="F13" s="864">
        <v>44375</v>
      </c>
      <c r="G13" s="865" t="s">
        <v>2688</v>
      </c>
      <c r="H13" s="866"/>
      <c r="I13" s="867">
        <v>42550</v>
      </c>
      <c r="J13" s="861" t="s">
        <v>2291</v>
      </c>
    </row>
    <row r="14" spans="1:14" s="870" customFormat="1" ht="51" x14ac:dyDescent="0.2">
      <c r="A14" s="868" t="s">
        <v>2692</v>
      </c>
      <c r="B14" s="861" t="s">
        <v>2798</v>
      </c>
      <c r="C14" s="862" t="s">
        <v>1900</v>
      </c>
      <c r="D14" s="862" t="s">
        <v>1901</v>
      </c>
      <c r="E14" s="863">
        <v>7422</v>
      </c>
      <c r="F14" s="864">
        <v>44395</v>
      </c>
      <c r="G14" s="865" t="s">
        <v>2693</v>
      </c>
      <c r="H14" s="866"/>
      <c r="I14" s="867">
        <v>42569</v>
      </c>
      <c r="J14" s="861" t="s">
        <v>2291</v>
      </c>
    </row>
    <row r="15" spans="1:14" s="870" customFormat="1" ht="38.25" x14ac:dyDescent="0.2">
      <c r="A15" s="868" t="s">
        <v>1916</v>
      </c>
      <c r="B15" s="861" t="s">
        <v>1917</v>
      </c>
      <c r="C15" s="862" t="s">
        <v>1918</v>
      </c>
      <c r="D15" s="862" t="s">
        <v>1919</v>
      </c>
      <c r="E15" s="863">
        <v>0</v>
      </c>
      <c r="F15" s="864">
        <v>44065</v>
      </c>
      <c r="G15" s="865" t="s">
        <v>2547</v>
      </c>
      <c r="H15" s="866" t="s">
        <v>2558</v>
      </c>
      <c r="I15" s="867">
        <v>42605</v>
      </c>
      <c r="J15" s="861" t="s">
        <v>2291</v>
      </c>
    </row>
    <row r="16" spans="1:14" s="870" customFormat="1" ht="38.25" x14ac:dyDescent="0.2">
      <c r="A16" s="868" t="s">
        <v>1916</v>
      </c>
      <c r="B16" s="861" t="s">
        <v>1917</v>
      </c>
      <c r="C16" s="862" t="s">
        <v>1921</v>
      </c>
      <c r="D16" s="862" t="s">
        <v>1919</v>
      </c>
      <c r="E16" s="863">
        <v>0</v>
      </c>
      <c r="F16" s="864">
        <v>44065</v>
      </c>
      <c r="G16" s="865" t="s">
        <v>2547</v>
      </c>
      <c r="H16" s="866" t="s">
        <v>2558</v>
      </c>
      <c r="I16" s="867">
        <v>42605</v>
      </c>
      <c r="J16" s="861" t="s">
        <v>2291</v>
      </c>
    </row>
    <row r="17" spans="1:13" s="870" customFormat="1" ht="38.25" x14ac:dyDescent="0.2">
      <c r="A17" s="868" t="s">
        <v>1916</v>
      </c>
      <c r="B17" s="861" t="s">
        <v>1917</v>
      </c>
      <c r="C17" s="862" t="s">
        <v>1923</v>
      </c>
      <c r="D17" s="862" t="s">
        <v>1919</v>
      </c>
      <c r="E17" s="863">
        <v>0</v>
      </c>
      <c r="F17" s="864">
        <v>44430</v>
      </c>
      <c r="G17" s="865" t="s">
        <v>2696</v>
      </c>
      <c r="H17" s="866" t="s">
        <v>2558</v>
      </c>
      <c r="I17" s="867">
        <v>42605</v>
      </c>
      <c r="J17" s="861" t="s">
        <v>2291</v>
      </c>
    </row>
    <row r="18" spans="1:13" s="870" customFormat="1" ht="38.25" x14ac:dyDescent="0.2">
      <c r="A18" s="868" t="s">
        <v>1916</v>
      </c>
      <c r="B18" s="861" t="s">
        <v>1917</v>
      </c>
      <c r="C18" s="862" t="s">
        <v>1924</v>
      </c>
      <c r="D18" s="862" t="s">
        <v>1919</v>
      </c>
      <c r="E18" s="863">
        <v>0</v>
      </c>
      <c r="F18" s="864">
        <v>44065</v>
      </c>
      <c r="G18" s="865" t="s">
        <v>2547</v>
      </c>
      <c r="H18" s="866" t="s">
        <v>2558</v>
      </c>
      <c r="I18" s="867">
        <v>42605</v>
      </c>
      <c r="J18" s="861" t="s">
        <v>2291</v>
      </c>
    </row>
    <row r="19" spans="1:13" s="870" customFormat="1" ht="38.25" x14ac:dyDescent="0.2">
      <c r="A19" s="868" t="s">
        <v>1916</v>
      </c>
      <c r="B19" s="861" t="s">
        <v>1917</v>
      </c>
      <c r="C19" s="862" t="s">
        <v>1931</v>
      </c>
      <c r="D19" s="862" t="s">
        <v>1919</v>
      </c>
      <c r="E19" s="863">
        <v>0</v>
      </c>
      <c r="F19" s="864">
        <v>44065</v>
      </c>
      <c r="G19" s="865" t="s">
        <v>2547</v>
      </c>
      <c r="H19" s="866" t="s">
        <v>2558</v>
      </c>
      <c r="I19" s="867">
        <v>42605</v>
      </c>
      <c r="J19" s="861" t="s">
        <v>2291</v>
      </c>
      <c r="M19" s="871"/>
    </row>
    <row r="20" spans="1:13" s="870" customFormat="1" ht="51" x14ac:dyDescent="0.2">
      <c r="A20" s="868" t="s">
        <v>2705</v>
      </c>
      <c r="B20" s="861" t="s">
        <v>1961</v>
      </c>
      <c r="C20" s="862" t="s">
        <v>1269</v>
      </c>
      <c r="D20" s="862" t="s">
        <v>1963</v>
      </c>
      <c r="E20" s="863">
        <v>33003.050000000003</v>
      </c>
      <c r="F20" s="864">
        <v>44243</v>
      </c>
      <c r="G20" s="865" t="s">
        <v>2679</v>
      </c>
      <c r="H20" s="866" t="s">
        <v>2558</v>
      </c>
      <c r="I20" s="867">
        <v>42417</v>
      </c>
      <c r="J20" s="861" t="s">
        <v>2313</v>
      </c>
    </row>
    <row r="21" spans="1:13" s="870" customFormat="1" ht="51" x14ac:dyDescent="0.2">
      <c r="A21" s="868" t="s">
        <v>1976</v>
      </c>
      <c r="B21" s="861" t="s">
        <v>1980</v>
      </c>
      <c r="C21" s="862" t="s">
        <v>1547</v>
      </c>
      <c r="D21" s="862" t="s">
        <v>2128</v>
      </c>
      <c r="E21" s="863">
        <v>96460.91</v>
      </c>
      <c r="F21" s="864">
        <v>44340</v>
      </c>
      <c r="G21" s="865" t="s">
        <v>2703</v>
      </c>
      <c r="H21" s="866"/>
      <c r="I21" s="867">
        <v>42725</v>
      </c>
      <c r="J21" s="861" t="s">
        <v>2291</v>
      </c>
    </row>
    <row r="22" spans="1:13" s="880" customFormat="1" ht="38.25" x14ac:dyDescent="0.2">
      <c r="A22" s="872" t="s">
        <v>2002</v>
      </c>
      <c r="B22" s="873" t="s">
        <v>2798</v>
      </c>
      <c r="C22" s="874" t="s">
        <v>2004</v>
      </c>
      <c r="D22" s="874" t="s">
        <v>1210</v>
      </c>
      <c r="E22" s="875">
        <v>4078.44</v>
      </c>
      <c r="F22" s="876">
        <v>44255</v>
      </c>
      <c r="G22" s="877" t="s">
        <v>2704</v>
      </c>
      <c r="H22" s="878" t="s">
        <v>2558</v>
      </c>
      <c r="I22" s="879">
        <v>42795</v>
      </c>
      <c r="J22" s="873" t="s">
        <v>2383</v>
      </c>
    </row>
    <row r="23" spans="1:13" s="870" customFormat="1" ht="38.25" x14ac:dyDescent="0.2">
      <c r="A23" s="868" t="s">
        <v>2010</v>
      </c>
      <c r="B23" s="861" t="s">
        <v>24</v>
      </c>
      <c r="C23" s="862" t="s">
        <v>340</v>
      </c>
      <c r="D23" s="862" t="s">
        <v>2012</v>
      </c>
      <c r="E23" s="863">
        <v>26328.36</v>
      </c>
      <c r="F23" s="864">
        <v>44278</v>
      </c>
      <c r="G23" s="865" t="s">
        <v>2689</v>
      </c>
      <c r="H23" s="866" t="s">
        <v>2558</v>
      </c>
      <c r="I23" s="867">
        <v>42818</v>
      </c>
      <c r="J23" s="861" t="s">
        <v>2307</v>
      </c>
    </row>
    <row r="24" spans="1:13" s="870" customFormat="1" ht="38.25" x14ac:dyDescent="0.2">
      <c r="A24" s="868" t="s">
        <v>2047</v>
      </c>
      <c r="B24" s="861" t="s">
        <v>2798</v>
      </c>
      <c r="C24" s="862" t="s">
        <v>2048</v>
      </c>
      <c r="D24" s="862" t="s">
        <v>2049</v>
      </c>
      <c r="E24" s="863">
        <v>10707</v>
      </c>
      <c r="F24" s="864">
        <v>44028</v>
      </c>
      <c r="G24" s="865" t="s">
        <v>2050</v>
      </c>
      <c r="H24" s="866"/>
      <c r="I24" s="867">
        <v>42933</v>
      </c>
      <c r="J24" s="861" t="s">
        <v>2379</v>
      </c>
    </row>
    <row r="25" spans="1:13" s="870" customFormat="1" ht="38.25" x14ac:dyDescent="0.2">
      <c r="A25" s="868" t="s">
        <v>2066</v>
      </c>
      <c r="B25" s="861" t="s">
        <v>2067</v>
      </c>
      <c r="C25" s="862" t="s">
        <v>2771</v>
      </c>
      <c r="D25" s="862" t="s">
        <v>2069</v>
      </c>
      <c r="E25" s="863" t="s">
        <v>2071</v>
      </c>
      <c r="F25" s="864">
        <v>44432</v>
      </c>
      <c r="G25" s="865" t="s">
        <v>2698</v>
      </c>
      <c r="H25" s="866" t="s">
        <v>2558</v>
      </c>
      <c r="I25" s="867">
        <v>42972</v>
      </c>
      <c r="J25" s="861" t="s">
        <v>2291</v>
      </c>
    </row>
    <row r="26" spans="1:13" s="870" customFormat="1" ht="63.75" x14ac:dyDescent="0.2">
      <c r="A26" s="868" t="s">
        <v>2066</v>
      </c>
      <c r="B26" s="861" t="s">
        <v>2067</v>
      </c>
      <c r="C26" s="862" t="s">
        <v>2771</v>
      </c>
      <c r="D26" s="862" t="s">
        <v>2073</v>
      </c>
      <c r="E26" s="863" t="s">
        <v>2074</v>
      </c>
      <c r="F26" s="864">
        <v>44432</v>
      </c>
      <c r="G26" s="865" t="s">
        <v>2698</v>
      </c>
      <c r="H26" s="866" t="s">
        <v>2558</v>
      </c>
      <c r="I26" s="867">
        <v>42972</v>
      </c>
      <c r="J26" s="861" t="s">
        <v>2291</v>
      </c>
    </row>
    <row r="27" spans="1:13" s="870" customFormat="1" ht="93" customHeight="1" x14ac:dyDescent="0.2">
      <c r="A27" s="868" t="s">
        <v>2066</v>
      </c>
      <c r="B27" s="861" t="s">
        <v>2067</v>
      </c>
      <c r="C27" s="862" t="s">
        <v>2771</v>
      </c>
      <c r="D27" s="862" t="s">
        <v>2551</v>
      </c>
      <c r="E27" s="863">
        <v>1477.89</v>
      </c>
      <c r="F27" s="864">
        <v>44067</v>
      </c>
      <c r="G27" s="865" t="s">
        <v>2548</v>
      </c>
      <c r="H27" s="866" t="s">
        <v>2558</v>
      </c>
      <c r="I27" s="867">
        <v>42972</v>
      </c>
      <c r="J27" s="861" t="s">
        <v>2291</v>
      </c>
    </row>
    <row r="28" spans="1:13" s="870" customFormat="1" ht="165.75" x14ac:dyDescent="0.2">
      <c r="A28" s="868" t="s">
        <v>2101</v>
      </c>
      <c r="B28" s="861" t="s">
        <v>2102</v>
      </c>
      <c r="C28" s="862" t="s">
        <v>2674</v>
      </c>
      <c r="D28" s="862" t="s">
        <v>2104</v>
      </c>
      <c r="E28" s="863">
        <v>3100000</v>
      </c>
      <c r="F28" s="864">
        <v>44558</v>
      </c>
      <c r="G28" s="865" t="s">
        <v>2675</v>
      </c>
      <c r="H28" s="866"/>
      <c r="I28" s="867">
        <v>43098</v>
      </c>
      <c r="J28" s="861" t="s">
        <v>2379</v>
      </c>
    </row>
    <row r="29" spans="1:13" s="870" customFormat="1" ht="38.25" x14ac:dyDescent="0.2">
      <c r="A29" s="868" t="s">
        <v>2118</v>
      </c>
      <c r="B29" s="861" t="s">
        <v>2295</v>
      </c>
      <c r="C29" s="862" t="s">
        <v>340</v>
      </c>
      <c r="D29" s="862" t="s">
        <v>2119</v>
      </c>
      <c r="E29" s="863">
        <v>4498.08</v>
      </c>
      <c r="F29" s="864">
        <v>44186</v>
      </c>
      <c r="G29" s="865" t="s">
        <v>2672</v>
      </c>
      <c r="H29" s="866" t="s">
        <v>2558</v>
      </c>
      <c r="I29" s="867">
        <v>43090</v>
      </c>
      <c r="J29" s="861" t="s">
        <v>2307</v>
      </c>
    </row>
    <row r="30" spans="1:13" s="870" customFormat="1" ht="63.75" x14ac:dyDescent="0.2">
      <c r="A30" s="868" t="s">
        <v>2131</v>
      </c>
      <c r="B30" s="861" t="s">
        <v>24</v>
      </c>
      <c r="C30" s="862" t="s">
        <v>2132</v>
      </c>
      <c r="D30" s="862" t="s">
        <v>2273</v>
      </c>
      <c r="E30" s="863" t="s">
        <v>2274</v>
      </c>
      <c r="F30" s="864">
        <v>45049</v>
      </c>
      <c r="G30" s="865" t="s">
        <v>2133</v>
      </c>
      <c r="H30" s="866"/>
      <c r="I30" s="867">
        <v>43224</v>
      </c>
      <c r="J30" s="861"/>
    </row>
    <row r="31" spans="1:13" s="870" customFormat="1" ht="38.25" x14ac:dyDescent="0.2">
      <c r="A31" s="868" t="s">
        <v>2139</v>
      </c>
      <c r="B31" s="861" t="s">
        <v>2974</v>
      </c>
      <c r="C31" s="862" t="s">
        <v>1632</v>
      </c>
      <c r="D31" s="862" t="s">
        <v>2140</v>
      </c>
      <c r="E31" s="863">
        <v>179989.92</v>
      </c>
      <c r="F31" s="864">
        <v>44276</v>
      </c>
      <c r="G31" s="865" t="s">
        <v>2683</v>
      </c>
      <c r="H31" s="866" t="s">
        <v>2558</v>
      </c>
      <c r="I31" s="867">
        <v>43181</v>
      </c>
      <c r="J31" s="861" t="s">
        <v>2291</v>
      </c>
    </row>
    <row r="32" spans="1:13" s="870" customFormat="1" ht="51" x14ac:dyDescent="0.2">
      <c r="A32" s="868" t="s">
        <v>2142</v>
      </c>
      <c r="B32" s="861" t="s">
        <v>24</v>
      </c>
      <c r="C32" s="862" t="s">
        <v>2146</v>
      </c>
      <c r="D32" s="862" t="s">
        <v>2386</v>
      </c>
      <c r="E32" s="863">
        <v>133953.60000000001</v>
      </c>
      <c r="F32" s="864">
        <v>44275</v>
      </c>
      <c r="G32" s="865" t="s">
        <v>2681</v>
      </c>
      <c r="H32" s="866" t="s">
        <v>2558</v>
      </c>
      <c r="I32" s="867">
        <v>43180</v>
      </c>
      <c r="J32" s="861" t="s">
        <v>2307</v>
      </c>
    </row>
    <row r="33" spans="1:10" s="880" customFormat="1" ht="76.5" x14ac:dyDescent="0.2">
      <c r="A33" s="872" t="s">
        <v>2150</v>
      </c>
      <c r="B33" s="873" t="s">
        <v>2151</v>
      </c>
      <c r="C33" s="874" t="s">
        <v>2152</v>
      </c>
      <c r="D33" s="874" t="s">
        <v>2153</v>
      </c>
      <c r="E33" s="875">
        <v>0</v>
      </c>
      <c r="F33" s="876">
        <v>44264</v>
      </c>
      <c r="G33" s="877" t="s">
        <v>2154</v>
      </c>
      <c r="H33" s="878" t="s">
        <v>2558</v>
      </c>
      <c r="I33" s="879">
        <v>43353</v>
      </c>
      <c r="J33" s="873" t="s">
        <v>2343</v>
      </c>
    </row>
    <row r="34" spans="1:10" s="880" customFormat="1" ht="76.5" x14ac:dyDescent="0.2">
      <c r="A34" s="872" t="s">
        <v>2150</v>
      </c>
      <c r="B34" s="873" t="s">
        <v>2151</v>
      </c>
      <c r="C34" s="874" t="s">
        <v>2155</v>
      </c>
      <c r="D34" s="874" t="s">
        <v>2153</v>
      </c>
      <c r="E34" s="875">
        <v>0</v>
      </c>
      <c r="F34" s="876">
        <v>44264</v>
      </c>
      <c r="G34" s="877" t="s">
        <v>2154</v>
      </c>
      <c r="H34" s="878" t="s">
        <v>2558</v>
      </c>
      <c r="I34" s="879">
        <v>43353</v>
      </c>
      <c r="J34" s="873" t="s">
        <v>2343</v>
      </c>
    </row>
    <row r="35" spans="1:10" s="870" customFormat="1" ht="76.5" x14ac:dyDescent="0.2">
      <c r="A35" s="868" t="s">
        <v>2150</v>
      </c>
      <c r="B35" s="861" t="s">
        <v>2151</v>
      </c>
      <c r="C35" s="862" t="s">
        <v>2572</v>
      </c>
      <c r="D35" s="862" t="s">
        <v>2153</v>
      </c>
      <c r="E35" s="863">
        <v>0</v>
      </c>
      <c r="F35" s="864">
        <v>44205</v>
      </c>
      <c r="G35" s="865" t="s">
        <v>2154</v>
      </c>
      <c r="H35" s="866" t="s">
        <v>2558</v>
      </c>
      <c r="I35" s="867">
        <v>43353</v>
      </c>
      <c r="J35" s="861" t="s">
        <v>2343</v>
      </c>
    </row>
    <row r="36" spans="1:10" s="870" customFormat="1" ht="76.5" x14ac:dyDescent="0.2">
      <c r="A36" s="868" t="s">
        <v>2150</v>
      </c>
      <c r="B36" s="861" t="s">
        <v>2151</v>
      </c>
      <c r="C36" s="862" t="s">
        <v>2456</v>
      </c>
      <c r="D36" s="862" t="s">
        <v>2153</v>
      </c>
      <c r="E36" s="863">
        <v>0</v>
      </c>
      <c r="F36" s="864">
        <v>44227</v>
      </c>
      <c r="G36" s="865" t="s">
        <v>2570</v>
      </c>
      <c r="H36" s="866" t="s">
        <v>2558</v>
      </c>
      <c r="I36" s="867">
        <v>43353</v>
      </c>
      <c r="J36" s="861" t="s">
        <v>2343</v>
      </c>
    </row>
    <row r="37" spans="1:10" s="880" customFormat="1" ht="76.5" x14ac:dyDescent="0.2">
      <c r="A37" s="872" t="s">
        <v>2150</v>
      </c>
      <c r="B37" s="873" t="s">
        <v>2151</v>
      </c>
      <c r="C37" s="874" t="s">
        <v>2158</v>
      </c>
      <c r="D37" s="874" t="s">
        <v>2153</v>
      </c>
      <c r="E37" s="875">
        <v>0</v>
      </c>
      <c r="F37" s="876">
        <v>44248</v>
      </c>
      <c r="G37" s="877" t="s">
        <v>2184</v>
      </c>
      <c r="H37" s="878" t="s">
        <v>2558</v>
      </c>
      <c r="I37" s="879">
        <v>43334</v>
      </c>
      <c r="J37" s="873" t="s">
        <v>2343</v>
      </c>
    </row>
    <row r="38" spans="1:10" s="880" customFormat="1" ht="76.5" x14ac:dyDescent="0.2">
      <c r="A38" s="872" t="s">
        <v>2150</v>
      </c>
      <c r="B38" s="873" t="s">
        <v>2151</v>
      </c>
      <c r="C38" s="874" t="s">
        <v>2569</v>
      </c>
      <c r="D38" s="874" t="s">
        <v>2153</v>
      </c>
      <c r="E38" s="875">
        <v>0</v>
      </c>
      <c r="F38" s="876">
        <v>44251</v>
      </c>
      <c r="G38" s="877" t="s">
        <v>2224</v>
      </c>
      <c r="H38" s="878" t="s">
        <v>2558</v>
      </c>
      <c r="I38" s="879">
        <v>43368</v>
      </c>
      <c r="J38" s="873" t="s">
        <v>2343</v>
      </c>
    </row>
    <row r="39" spans="1:10" s="880" customFormat="1" ht="76.5" x14ac:dyDescent="0.2">
      <c r="A39" s="872" t="s">
        <v>2150</v>
      </c>
      <c r="B39" s="873" t="s">
        <v>2151</v>
      </c>
      <c r="C39" s="874" t="s">
        <v>2159</v>
      </c>
      <c r="D39" s="874" t="s">
        <v>2153</v>
      </c>
      <c r="E39" s="875">
        <v>0</v>
      </c>
      <c r="F39" s="876">
        <v>44240</v>
      </c>
      <c r="G39" s="877" t="s">
        <v>2189</v>
      </c>
      <c r="H39" s="878" t="s">
        <v>2558</v>
      </c>
      <c r="I39" s="879">
        <v>43326</v>
      </c>
      <c r="J39" s="873" t="s">
        <v>2343</v>
      </c>
    </row>
    <row r="40" spans="1:10" s="870" customFormat="1" ht="76.5" x14ac:dyDescent="0.2">
      <c r="A40" s="868" t="s">
        <v>2150</v>
      </c>
      <c r="B40" s="861" t="s">
        <v>2151</v>
      </c>
      <c r="C40" s="862" t="s">
        <v>2160</v>
      </c>
      <c r="D40" s="862" t="s">
        <v>2153</v>
      </c>
      <c r="E40" s="863">
        <v>0</v>
      </c>
      <c r="F40" s="864">
        <v>44240</v>
      </c>
      <c r="G40" s="865" t="s">
        <v>2189</v>
      </c>
      <c r="H40" s="866" t="s">
        <v>2558</v>
      </c>
      <c r="I40" s="867">
        <v>43326</v>
      </c>
      <c r="J40" s="861" t="s">
        <v>2343</v>
      </c>
    </row>
    <row r="41" spans="1:10" s="880" customFormat="1" ht="76.5" x14ac:dyDescent="0.2">
      <c r="A41" s="872" t="s">
        <v>2150</v>
      </c>
      <c r="B41" s="873" t="s">
        <v>2151</v>
      </c>
      <c r="C41" s="874" t="s">
        <v>2161</v>
      </c>
      <c r="D41" s="874" t="s">
        <v>2153</v>
      </c>
      <c r="E41" s="875">
        <v>0</v>
      </c>
      <c r="F41" s="876">
        <v>44248</v>
      </c>
      <c r="G41" s="877" t="s">
        <v>2184</v>
      </c>
      <c r="H41" s="878" t="s">
        <v>2558</v>
      </c>
      <c r="I41" s="879">
        <v>43334</v>
      </c>
      <c r="J41" s="873" t="s">
        <v>2343</v>
      </c>
    </row>
    <row r="42" spans="1:10" s="880" customFormat="1" ht="76.5" x14ac:dyDescent="0.2">
      <c r="A42" s="872" t="s">
        <v>2150</v>
      </c>
      <c r="B42" s="873" t="s">
        <v>2151</v>
      </c>
      <c r="C42" s="874" t="s">
        <v>2162</v>
      </c>
      <c r="D42" s="874" t="s">
        <v>2153</v>
      </c>
      <c r="E42" s="875">
        <v>0</v>
      </c>
      <c r="F42" s="876">
        <v>44248</v>
      </c>
      <c r="G42" s="877" t="s">
        <v>2184</v>
      </c>
      <c r="H42" s="878" t="s">
        <v>2558</v>
      </c>
      <c r="I42" s="879">
        <v>43334</v>
      </c>
      <c r="J42" s="873" t="s">
        <v>2343</v>
      </c>
    </row>
    <row r="43" spans="1:10" s="880" customFormat="1" ht="76.5" x14ac:dyDescent="0.2">
      <c r="A43" s="872" t="s">
        <v>2150</v>
      </c>
      <c r="B43" s="873" t="s">
        <v>2151</v>
      </c>
      <c r="C43" s="874" t="s">
        <v>2163</v>
      </c>
      <c r="D43" s="874" t="s">
        <v>2153</v>
      </c>
      <c r="E43" s="875">
        <v>0</v>
      </c>
      <c r="F43" s="876">
        <v>44248</v>
      </c>
      <c r="G43" s="877" t="s">
        <v>2184</v>
      </c>
      <c r="H43" s="878" t="s">
        <v>2558</v>
      </c>
      <c r="I43" s="879">
        <v>43334</v>
      </c>
      <c r="J43" s="873" t="s">
        <v>2343</v>
      </c>
    </row>
    <row r="44" spans="1:10" s="880" customFormat="1" ht="76.5" x14ac:dyDescent="0.2">
      <c r="A44" s="872" t="s">
        <v>2150</v>
      </c>
      <c r="B44" s="873" t="s">
        <v>2151</v>
      </c>
      <c r="C44" s="874" t="s">
        <v>2164</v>
      </c>
      <c r="D44" s="874" t="s">
        <v>2153</v>
      </c>
      <c r="E44" s="875">
        <v>0</v>
      </c>
      <c r="F44" s="876">
        <v>44240</v>
      </c>
      <c r="G44" s="877" t="s">
        <v>2189</v>
      </c>
      <c r="H44" s="878" t="s">
        <v>2558</v>
      </c>
      <c r="I44" s="879">
        <v>43326</v>
      </c>
      <c r="J44" s="873" t="s">
        <v>2343</v>
      </c>
    </row>
    <row r="45" spans="1:10" s="880" customFormat="1" ht="76.5" x14ac:dyDescent="0.2">
      <c r="A45" s="872" t="s">
        <v>2150</v>
      </c>
      <c r="B45" s="873" t="s">
        <v>2151</v>
      </c>
      <c r="C45" s="874" t="s">
        <v>2165</v>
      </c>
      <c r="D45" s="874" t="s">
        <v>2153</v>
      </c>
      <c r="E45" s="875">
        <v>0</v>
      </c>
      <c r="F45" s="876">
        <v>44240</v>
      </c>
      <c r="G45" s="877" t="s">
        <v>2189</v>
      </c>
      <c r="H45" s="878" t="s">
        <v>2558</v>
      </c>
      <c r="I45" s="879">
        <v>43326</v>
      </c>
      <c r="J45" s="873" t="s">
        <v>2343</v>
      </c>
    </row>
    <row r="46" spans="1:10" s="880" customFormat="1" ht="76.5" x14ac:dyDescent="0.2">
      <c r="A46" s="872" t="s">
        <v>2150</v>
      </c>
      <c r="B46" s="873" t="s">
        <v>2151</v>
      </c>
      <c r="C46" s="874" t="s">
        <v>2166</v>
      </c>
      <c r="D46" s="874" t="s">
        <v>2153</v>
      </c>
      <c r="E46" s="875">
        <v>0</v>
      </c>
      <c r="F46" s="876">
        <v>44248</v>
      </c>
      <c r="G46" s="877" t="s">
        <v>2184</v>
      </c>
      <c r="H46" s="878" t="s">
        <v>2558</v>
      </c>
      <c r="I46" s="879">
        <v>43334</v>
      </c>
      <c r="J46" s="873" t="s">
        <v>2343</v>
      </c>
    </row>
    <row r="47" spans="1:10" s="880" customFormat="1" ht="76.5" x14ac:dyDescent="0.2">
      <c r="A47" s="872" t="s">
        <v>2150</v>
      </c>
      <c r="B47" s="873" t="s">
        <v>2151</v>
      </c>
      <c r="C47" s="874" t="s">
        <v>2167</v>
      </c>
      <c r="D47" s="874" t="s">
        <v>2153</v>
      </c>
      <c r="E47" s="875">
        <v>0</v>
      </c>
      <c r="F47" s="876">
        <v>44248</v>
      </c>
      <c r="G47" s="877" t="s">
        <v>2184</v>
      </c>
      <c r="H47" s="878" t="s">
        <v>2558</v>
      </c>
      <c r="I47" s="879">
        <v>43334</v>
      </c>
      <c r="J47" s="873" t="s">
        <v>2343</v>
      </c>
    </row>
    <row r="48" spans="1:10" s="870" customFormat="1" ht="76.5" x14ac:dyDescent="0.2">
      <c r="A48" s="868" t="s">
        <v>2150</v>
      </c>
      <c r="B48" s="861" t="s">
        <v>2151</v>
      </c>
      <c r="C48" s="862" t="s">
        <v>2168</v>
      </c>
      <c r="D48" s="862" t="s">
        <v>2153</v>
      </c>
      <c r="E48" s="863">
        <v>0</v>
      </c>
      <c r="F48" s="864">
        <v>44240</v>
      </c>
      <c r="G48" s="865" t="s">
        <v>2189</v>
      </c>
      <c r="H48" s="866" t="s">
        <v>2558</v>
      </c>
      <c r="I48" s="867">
        <v>43326</v>
      </c>
      <c r="J48" s="861" t="s">
        <v>2343</v>
      </c>
    </row>
    <row r="49" spans="1:10" s="880" customFormat="1" ht="76.5" x14ac:dyDescent="0.2">
      <c r="A49" s="872" t="s">
        <v>2150</v>
      </c>
      <c r="B49" s="873" t="s">
        <v>2151</v>
      </c>
      <c r="C49" s="874" t="s">
        <v>2169</v>
      </c>
      <c r="D49" s="874" t="s">
        <v>2153</v>
      </c>
      <c r="E49" s="875">
        <v>0</v>
      </c>
      <c r="F49" s="876">
        <v>44248</v>
      </c>
      <c r="G49" s="877" t="s">
        <v>2184</v>
      </c>
      <c r="H49" s="878" t="s">
        <v>2558</v>
      </c>
      <c r="I49" s="879">
        <v>43334</v>
      </c>
      <c r="J49" s="873" t="s">
        <v>2343</v>
      </c>
    </row>
    <row r="50" spans="1:10" s="880" customFormat="1" ht="76.5" x14ac:dyDescent="0.2">
      <c r="A50" s="872" t="s">
        <v>2150</v>
      </c>
      <c r="B50" s="873" t="s">
        <v>2151</v>
      </c>
      <c r="C50" s="874" t="s">
        <v>2405</v>
      </c>
      <c r="D50" s="874" t="s">
        <v>2153</v>
      </c>
      <c r="E50" s="875">
        <v>0</v>
      </c>
      <c r="F50" s="876">
        <v>44248</v>
      </c>
      <c r="G50" s="877" t="s">
        <v>2184</v>
      </c>
      <c r="H50" s="878" t="s">
        <v>2558</v>
      </c>
      <c r="I50" s="879">
        <v>43334</v>
      </c>
      <c r="J50" s="873" t="s">
        <v>2343</v>
      </c>
    </row>
    <row r="51" spans="1:10" s="880" customFormat="1" ht="76.5" x14ac:dyDescent="0.2">
      <c r="A51" s="872" t="s">
        <v>2150</v>
      </c>
      <c r="B51" s="873" t="s">
        <v>2151</v>
      </c>
      <c r="C51" s="874" t="s">
        <v>2560</v>
      </c>
      <c r="D51" s="874" t="s">
        <v>2153</v>
      </c>
      <c r="E51" s="875">
        <v>0</v>
      </c>
      <c r="F51" s="876">
        <v>44248</v>
      </c>
      <c r="G51" s="877" t="s">
        <v>2184</v>
      </c>
      <c r="H51" s="878" t="s">
        <v>2558</v>
      </c>
      <c r="I51" s="879">
        <v>43334</v>
      </c>
      <c r="J51" s="873" t="s">
        <v>2343</v>
      </c>
    </row>
    <row r="52" spans="1:10" s="880" customFormat="1" ht="76.5" x14ac:dyDescent="0.2">
      <c r="A52" s="872" t="s">
        <v>2150</v>
      </c>
      <c r="B52" s="873" t="s">
        <v>2151</v>
      </c>
      <c r="C52" s="874" t="s">
        <v>2171</v>
      </c>
      <c r="D52" s="874" t="s">
        <v>2153</v>
      </c>
      <c r="E52" s="875">
        <v>0</v>
      </c>
      <c r="F52" s="876">
        <v>44248</v>
      </c>
      <c r="G52" s="877" t="s">
        <v>2184</v>
      </c>
      <c r="H52" s="878" t="s">
        <v>2558</v>
      </c>
      <c r="I52" s="879">
        <v>43334</v>
      </c>
      <c r="J52" s="873" t="s">
        <v>2343</v>
      </c>
    </row>
    <row r="53" spans="1:10" s="870" customFormat="1" ht="76.5" x14ac:dyDescent="0.2">
      <c r="A53" s="868" t="s">
        <v>2150</v>
      </c>
      <c r="B53" s="861" t="s">
        <v>2151</v>
      </c>
      <c r="C53" s="862" t="s">
        <v>2449</v>
      </c>
      <c r="D53" s="862" t="s">
        <v>2153</v>
      </c>
      <c r="E53" s="863">
        <v>0</v>
      </c>
      <c r="F53" s="864">
        <v>44227</v>
      </c>
      <c r="G53" s="865" t="s">
        <v>2224</v>
      </c>
      <c r="H53" s="866" t="s">
        <v>2558</v>
      </c>
      <c r="I53" s="867">
        <v>43368</v>
      </c>
      <c r="J53" s="861" t="s">
        <v>2343</v>
      </c>
    </row>
    <row r="54" spans="1:10" s="880" customFormat="1" ht="76.5" x14ac:dyDescent="0.2">
      <c r="A54" s="872" t="s">
        <v>2150</v>
      </c>
      <c r="B54" s="873" t="s">
        <v>2151</v>
      </c>
      <c r="C54" s="874" t="s">
        <v>2172</v>
      </c>
      <c r="D54" s="874" t="s">
        <v>2153</v>
      </c>
      <c r="E54" s="875">
        <v>0</v>
      </c>
      <c r="F54" s="876">
        <v>44248</v>
      </c>
      <c r="G54" s="877" t="s">
        <v>2184</v>
      </c>
      <c r="H54" s="878" t="s">
        <v>2558</v>
      </c>
      <c r="I54" s="879">
        <v>43334</v>
      </c>
      <c r="J54" s="873" t="s">
        <v>2343</v>
      </c>
    </row>
    <row r="55" spans="1:10" s="880" customFormat="1" ht="76.5" x14ac:dyDescent="0.2">
      <c r="A55" s="872" t="s">
        <v>2150</v>
      </c>
      <c r="B55" s="873" t="s">
        <v>2151</v>
      </c>
      <c r="C55" s="874" t="s">
        <v>2173</v>
      </c>
      <c r="D55" s="874" t="s">
        <v>2153</v>
      </c>
      <c r="E55" s="875">
        <v>0</v>
      </c>
      <c r="F55" s="876">
        <v>44248</v>
      </c>
      <c r="G55" s="877" t="s">
        <v>2184</v>
      </c>
      <c r="H55" s="878" t="s">
        <v>2558</v>
      </c>
      <c r="I55" s="879">
        <v>43334</v>
      </c>
      <c r="J55" s="873" t="s">
        <v>2343</v>
      </c>
    </row>
    <row r="56" spans="1:10" s="870" customFormat="1" ht="76.5" x14ac:dyDescent="0.2">
      <c r="A56" s="868" t="s">
        <v>2150</v>
      </c>
      <c r="B56" s="861" t="s">
        <v>2151</v>
      </c>
      <c r="C56" s="862" t="s">
        <v>2443</v>
      </c>
      <c r="D56" s="862" t="s">
        <v>2153</v>
      </c>
      <c r="E56" s="863">
        <v>0</v>
      </c>
      <c r="F56" s="864">
        <v>44279</v>
      </c>
      <c r="G56" s="865" t="s">
        <v>2224</v>
      </c>
      <c r="H56" s="866" t="s">
        <v>2772</v>
      </c>
      <c r="I56" s="867">
        <v>43368</v>
      </c>
      <c r="J56" s="861" t="s">
        <v>2343</v>
      </c>
    </row>
    <row r="57" spans="1:10" s="880" customFormat="1" ht="76.5" x14ac:dyDescent="0.2">
      <c r="A57" s="872" t="s">
        <v>2150</v>
      </c>
      <c r="B57" s="873" t="s">
        <v>2151</v>
      </c>
      <c r="C57" s="874" t="s">
        <v>2174</v>
      </c>
      <c r="D57" s="874" t="s">
        <v>2153</v>
      </c>
      <c r="E57" s="875">
        <v>0</v>
      </c>
      <c r="F57" s="876">
        <v>44248</v>
      </c>
      <c r="G57" s="877" t="s">
        <v>2184</v>
      </c>
      <c r="H57" s="878" t="s">
        <v>2558</v>
      </c>
      <c r="I57" s="879">
        <v>43334</v>
      </c>
      <c r="J57" s="873" t="s">
        <v>2343</v>
      </c>
    </row>
    <row r="58" spans="1:10" s="880" customFormat="1" ht="76.5" x14ac:dyDescent="0.2">
      <c r="A58" s="872" t="s">
        <v>2150</v>
      </c>
      <c r="B58" s="873" t="s">
        <v>2151</v>
      </c>
      <c r="C58" s="874" t="s">
        <v>2571</v>
      </c>
      <c r="D58" s="874" t="s">
        <v>2153</v>
      </c>
      <c r="E58" s="875">
        <v>0</v>
      </c>
      <c r="F58" s="876">
        <v>44248</v>
      </c>
      <c r="G58" s="877" t="s">
        <v>2184</v>
      </c>
      <c r="H58" s="878" t="s">
        <v>2558</v>
      </c>
      <c r="I58" s="879">
        <v>43334</v>
      </c>
      <c r="J58" s="873" t="s">
        <v>2343</v>
      </c>
    </row>
    <row r="59" spans="1:10" s="870" customFormat="1" ht="76.5" x14ac:dyDescent="0.2">
      <c r="A59" s="868" t="s">
        <v>2150</v>
      </c>
      <c r="B59" s="861" t="s">
        <v>2151</v>
      </c>
      <c r="C59" s="862" t="s">
        <v>2176</v>
      </c>
      <c r="D59" s="862" t="s">
        <v>2153</v>
      </c>
      <c r="E59" s="863">
        <v>0</v>
      </c>
      <c r="F59" s="864">
        <v>44240</v>
      </c>
      <c r="G59" s="865" t="s">
        <v>2189</v>
      </c>
      <c r="H59" s="866" t="s">
        <v>2558</v>
      </c>
      <c r="I59" s="867">
        <v>43326</v>
      </c>
      <c r="J59" s="861" t="s">
        <v>2343</v>
      </c>
    </row>
    <row r="60" spans="1:10" s="880" customFormat="1" ht="76.5" x14ac:dyDescent="0.2">
      <c r="A60" s="872" t="s">
        <v>2150</v>
      </c>
      <c r="B60" s="873" t="s">
        <v>2151</v>
      </c>
      <c r="C60" s="874" t="s">
        <v>2177</v>
      </c>
      <c r="D60" s="874" t="s">
        <v>2153</v>
      </c>
      <c r="E60" s="875">
        <v>0</v>
      </c>
      <c r="F60" s="876">
        <v>44248</v>
      </c>
      <c r="G60" s="877" t="s">
        <v>2184</v>
      </c>
      <c r="H60" s="878" t="s">
        <v>2558</v>
      </c>
      <c r="I60" s="879">
        <v>43334</v>
      </c>
      <c r="J60" s="873" t="s">
        <v>2343</v>
      </c>
    </row>
    <row r="61" spans="1:10" s="880" customFormat="1" ht="76.5" x14ac:dyDescent="0.2">
      <c r="A61" s="872" t="s">
        <v>2150</v>
      </c>
      <c r="B61" s="873" t="s">
        <v>2151</v>
      </c>
      <c r="C61" s="874" t="s">
        <v>2178</v>
      </c>
      <c r="D61" s="874" t="s">
        <v>2153</v>
      </c>
      <c r="E61" s="875">
        <v>0</v>
      </c>
      <c r="F61" s="876">
        <v>44248</v>
      </c>
      <c r="G61" s="877" t="s">
        <v>2184</v>
      </c>
      <c r="H61" s="878" t="s">
        <v>2558</v>
      </c>
      <c r="I61" s="879">
        <v>43334</v>
      </c>
      <c r="J61" s="873" t="s">
        <v>2343</v>
      </c>
    </row>
    <row r="62" spans="1:10" s="880" customFormat="1" ht="76.5" x14ac:dyDescent="0.2">
      <c r="A62" s="872" t="s">
        <v>2150</v>
      </c>
      <c r="B62" s="873" t="s">
        <v>2151</v>
      </c>
      <c r="C62" s="874" t="s">
        <v>2179</v>
      </c>
      <c r="D62" s="874" t="s">
        <v>2153</v>
      </c>
      <c r="E62" s="875">
        <v>0</v>
      </c>
      <c r="F62" s="876">
        <v>44248</v>
      </c>
      <c r="G62" s="877" t="s">
        <v>2184</v>
      </c>
      <c r="H62" s="878" t="s">
        <v>2558</v>
      </c>
      <c r="I62" s="879">
        <v>43334</v>
      </c>
      <c r="J62" s="873" t="s">
        <v>2343</v>
      </c>
    </row>
    <row r="63" spans="1:10" s="880" customFormat="1" ht="76.5" x14ac:dyDescent="0.2">
      <c r="A63" s="872" t="s">
        <v>2150</v>
      </c>
      <c r="B63" s="873" t="s">
        <v>2151</v>
      </c>
      <c r="C63" s="874" t="s">
        <v>2180</v>
      </c>
      <c r="D63" s="874" t="s">
        <v>2153</v>
      </c>
      <c r="E63" s="875">
        <v>0</v>
      </c>
      <c r="F63" s="876">
        <v>44248</v>
      </c>
      <c r="G63" s="877" t="s">
        <v>2184</v>
      </c>
      <c r="H63" s="878" t="s">
        <v>2558</v>
      </c>
      <c r="I63" s="879">
        <v>43334</v>
      </c>
      <c r="J63" s="873" t="s">
        <v>2343</v>
      </c>
    </row>
    <row r="64" spans="1:10" s="880" customFormat="1" ht="76.5" x14ac:dyDescent="0.2">
      <c r="A64" s="872" t="s">
        <v>2150</v>
      </c>
      <c r="B64" s="873" t="s">
        <v>2151</v>
      </c>
      <c r="C64" s="874" t="s">
        <v>2181</v>
      </c>
      <c r="D64" s="874" t="s">
        <v>2153</v>
      </c>
      <c r="E64" s="875">
        <v>0</v>
      </c>
      <c r="F64" s="876">
        <v>44248</v>
      </c>
      <c r="G64" s="877" t="s">
        <v>2184</v>
      </c>
      <c r="H64" s="878" t="s">
        <v>2558</v>
      </c>
      <c r="I64" s="879">
        <v>43334</v>
      </c>
      <c r="J64" s="873" t="s">
        <v>2343</v>
      </c>
    </row>
    <row r="65" spans="1:10" s="880" customFormat="1" ht="76.5" x14ac:dyDescent="0.2">
      <c r="A65" s="872" t="s">
        <v>2150</v>
      </c>
      <c r="B65" s="873" t="s">
        <v>2151</v>
      </c>
      <c r="C65" s="874" t="s">
        <v>2565</v>
      </c>
      <c r="D65" s="874" t="s">
        <v>2153</v>
      </c>
      <c r="E65" s="875">
        <v>0</v>
      </c>
      <c r="F65" s="876">
        <v>44248</v>
      </c>
      <c r="G65" s="877" t="s">
        <v>2184</v>
      </c>
      <c r="H65" s="878" t="s">
        <v>2558</v>
      </c>
      <c r="I65" s="879">
        <v>43334</v>
      </c>
      <c r="J65" s="873" t="s">
        <v>2343</v>
      </c>
    </row>
    <row r="66" spans="1:10" s="880" customFormat="1" ht="76.5" x14ac:dyDescent="0.2">
      <c r="A66" s="872" t="s">
        <v>2150</v>
      </c>
      <c r="B66" s="873" t="s">
        <v>2151</v>
      </c>
      <c r="C66" s="874" t="s">
        <v>2183</v>
      </c>
      <c r="D66" s="874" t="s">
        <v>2153</v>
      </c>
      <c r="E66" s="875">
        <v>0</v>
      </c>
      <c r="F66" s="876">
        <v>44248</v>
      </c>
      <c r="G66" s="877" t="s">
        <v>2184</v>
      </c>
      <c r="H66" s="878" t="s">
        <v>2558</v>
      </c>
      <c r="I66" s="879">
        <v>43334</v>
      </c>
      <c r="J66" s="873" t="s">
        <v>2343</v>
      </c>
    </row>
    <row r="67" spans="1:10" s="870" customFormat="1" ht="76.5" x14ac:dyDescent="0.2">
      <c r="A67" s="868" t="s">
        <v>2150</v>
      </c>
      <c r="B67" s="861" t="s">
        <v>2151</v>
      </c>
      <c r="C67" s="862" t="s">
        <v>2566</v>
      </c>
      <c r="D67" s="862" t="s">
        <v>2153</v>
      </c>
      <c r="E67" s="863">
        <v>0</v>
      </c>
      <c r="F67" s="864">
        <v>44241</v>
      </c>
      <c r="G67" s="865" t="s">
        <v>2195</v>
      </c>
      <c r="H67" s="866" t="s">
        <v>2558</v>
      </c>
      <c r="I67" s="867">
        <v>43327</v>
      </c>
      <c r="J67" s="861" t="s">
        <v>2343</v>
      </c>
    </row>
    <row r="68" spans="1:10" s="870" customFormat="1" ht="76.5" x14ac:dyDescent="0.2">
      <c r="A68" s="868" t="s">
        <v>2150</v>
      </c>
      <c r="B68" s="861" t="s">
        <v>2151</v>
      </c>
      <c r="C68" s="862" t="s">
        <v>2567</v>
      </c>
      <c r="D68" s="862" t="s">
        <v>2153</v>
      </c>
      <c r="E68" s="863">
        <v>0</v>
      </c>
      <c r="F68" s="864">
        <v>44277</v>
      </c>
      <c r="G68" s="865" t="s">
        <v>2224</v>
      </c>
      <c r="H68" s="866" t="s">
        <v>2772</v>
      </c>
      <c r="I68" s="867">
        <v>43327</v>
      </c>
      <c r="J68" s="861" t="s">
        <v>2343</v>
      </c>
    </row>
    <row r="69" spans="1:10" s="870" customFormat="1" ht="76.5" x14ac:dyDescent="0.2">
      <c r="A69" s="868" t="s">
        <v>2150</v>
      </c>
      <c r="B69" s="861" t="s">
        <v>2151</v>
      </c>
      <c r="C69" s="862" t="s">
        <v>2196</v>
      </c>
      <c r="D69" s="862" t="s">
        <v>2153</v>
      </c>
      <c r="E69" s="863">
        <v>0</v>
      </c>
      <c r="F69" s="864">
        <v>44240</v>
      </c>
      <c r="G69" s="865" t="s">
        <v>2189</v>
      </c>
      <c r="H69" s="866" t="s">
        <v>2558</v>
      </c>
      <c r="I69" s="867">
        <v>43326</v>
      </c>
      <c r="J69" s="861" t="s">
        <v>2343</v>
      </c>
    </row>
    <row r="70" spans="1:10" s="870" customFormat="1" ht="76.5" x14ac:dyDescent="0.2">
      <c r="A70" s="868" t="s">
        <v>2150</v>
      </c>
      <c r="B70" s="861" t="s">
        <v>2151</v>
      </c>
      <c r="C70" s="862" t="s">
        <v>2197</v>
      </c>
      <c r="D70" s="862" t="s">
        <v>2153</v>
      </c>
      <c r="E70" s="863">
        <v>0</v>
      </c>
      <c r="F70" s="864">
        <v>44240</v>
      </c>
      <c r="G70" s="865" t="s">
        <v>2189</v>
      </c>
      <c r="H70" s="866" t="s">
        <v>2558</v>
      </c>
      <c r="I70" s="867">
        <v>43326</v>
      </c>
      <c r="J70" s="861" t="s">
        <v>2343</v>
      </c>
    </row>
    <row r="71" spans="1:10" s="870" customFormat="1" ht="76.5" x14ac:dyDescent="0.2">
      <c r="A71" s="868" t="s">
        <v>2150</v>
      </c>
      <c r="B71" s="861" t="s">
        <v>2151</v>
      </c>
      <c r="C71" s="862" t="s">
        <v>2198</v>
      </c>
      <c r="D71" s="862" t="s">
        <v>2153</v>
      </c>
      <c r="E71" s="863">
        <v>0</v>
      </c>
      <c r="F71" s="864">
        <v>44240</v>
      </c>
      <c r="G71" s="865" t="s">
        <v>2189</v>
      </c>
      <c r="H71" s="866" t="s">
        <v>2558</v>
      </c>
      <c r="I71" s="867">
        <v>43326</v>
      </c>
      <c r="J71" s="861" t="s">
        <v>2343</v>
      </c>
    </row>
    <row r="72" spans="1:10" s="870" customFormat="1" ht="76.5" x14ac:dyDescent="0.2">
      <c r="A72" s="868" t="s">
        <v>2150</v>
      </c>
      <c r="B72" s="861" t="s">
        <v>2151</v>
      </c>
      <c r="C72" s="862" t="s">
        <v>2199</v>
      </c>
      <c r="D72" s="862" t="s">
        <v>2153</v>
      </c>
      <c r="E72" s="863">
        <v>0</v>
      </c>
      <c r="F72" s="864">
        <v>44240</v>
      </c>
      <c r="G72" s="865" t="s">
        <v>2189</v>
      </c>
      <c r="H72" s="866" t="s">
        <v>2558</v>
      </c>
      <c r="I72" s="867">
        <v>43326</v>
      </c>
      <c r="J72" s="861" t="s">
        <v>2343</v>
      </c>
    </row>
    <row r="73" spans="1:10" s="870" customFormat="1" ht="76.5" x14ac:dyDescent="0.2">
      <c r="A73" s="868" t="s">
        <v>2150</v>
      </c>
      <c r="B73" s="861" t="s">
        <v>2151</v>
      </c>
      <c r="C73" s="862" t="s">
        <v>2200</v>
      </c>
      <c r="D73" s="862" t="s">
        <v>2153</v>
      </c>
      <c r="E73" s="863">
        <v>0</v>
      </c>
      <c r="F73" s="864">
        <v>44240</v>
      </c>
      <c r="G73" s="865" t="s">
        <v>2189</v>
      </c>
      <c r="H73" s="866" t="s">
        <v>2558</v>
      </c>
      <c r="I73" s="867">
        <v>43326</v>
      </c>
      <c r="J73" s="861" t="s">
        <v>2343</v>
      </c>
    </row>
    <row r="74" spans="1:10" s="870" customFormat="1" ht="76.5" x14ac:dyDescent="0.2">
      <c r="A74" s="868" t="s">
        <v>2150</v>
      </c>
      <c r="B74" s="861" t="s">
        <v>2151</v>
      </c>
      <c r="C74" s="862" t="s">
        <v>2201</v>
      </c>
      <c r="D74" s="862" t="s">
        <v>2153</v>
      </c>
      <c r="E74" s="863">
        <v>0</v>
      </c>
      <c r="F74" s="864">
        <v>44240</v>
      </c>
      <c r="G74" s="865" t="s">
        <v>2189</v>
      </c>
      <c r="H74" s="866" t="s">
        <v>2558</v>
      </c>
      <c r="I74" s="867">
        <v>43326</v>
      </c>
      <c r="J74" s="861" t="s">
        <v>2343</v>
      </c>
    </row>
    <row r="75" spans="1:10" s="880" customFormat="1" ht="76.5" x14ac:dyDescent="0.2">
      <c r="A75" s="872" t="s">
        <v>2150</v>
      </c>
      <c r="B75" s="873" t="s">
        <v>2151</v>
      </c>
      <c r="C75" s="874" t="s">
        <v>2202</v>
      </c>
      <c r="D75" s="874" t="s">
        <v>2153</v>
      </c>
      <c r="E75" s="875">
        <v>0</v>
      </c>
      <c r="F75" s="876">
        <v>44248</v>
      </c>
      <c r="G75" s="877" t="s">
        <v>2184</v>
      </c>
      <c r="H75" s="878" t="s">
        <v>2558</v>
      </c>
      <c r="I75" s="879">
        <v>43334</v>
      </c>
      <c r="J75" s="873" t="s">
        <v>2343</v>
      </c>
    </row>
    <row r="76" spans="1:10" s="880" customFormat="1" ht="76.5" x14ac:dyDescent="0.2">
      <c r="A76" s="872" t="s">
        <v>2150</v>
      </c>
      <c r="B76" s="873" t="s">
        <v>2151</v>
      </c>
      <c r="C76" s="874" t="s">
        <v>2203</v>
      </c>
      <c r="D76" s="874" t="s">
        <v>2153</v>
      </c>
      <c r="E76" s="875">
        <v>0</v>
      </c>
      <c r="F76" s="876">
        <v>44248</v>
      </c>
      <c r="G76" s="877" t="s">
        <v>2184</v>
      </c>
      <c r="H76" s="878" t="s">
        <v>2558</v>
      </c>
      <c r="I76" s="879">
        <v>43334</v>
      </c>
      <c r="J76" s="873" t="s">
        <v>2343</v>
      </c>
    </row>
    <row r="77" spans="1:10" s="880" customFormat="1" ht="76.5" x14ac:dyDescent="0.2">
      <c r="A77" s="872" t="s">
        <v>2150</v>
      </c>
      <c r="B77" s="873" t="s">
        <v>2151</v>
      </c>
      <c r="C77" s="874" t="s">
        <v>2204</v>
      </c>
      <c r="D77" s="874" t="s">
        <v>2153</v>
      </c>
      <c r="E77" s="875">
        <v>0</v>
      </c>
      <c r="F77" s="876">
        <v>44248</v>
      </c>
      <c r="G77" s="877" t="s">
        <v>2184</v>
      </c>
      <c r="H77" s="878" t="s">
        <v>2558</v>
      </c>
      <c r="I77" s="879">
        <v>43334</v>
      </c>
      <c r="J77" s="873" t="s">
        <v>2343</v>
      </c>
    </row>
    <row r="78" spans="1:10" s="880" customFormat="1" ht="76.5" x14ac:dyDescent="0.2">
      <c r="A78" s="872" t="s">
        <v>2150</v>
      </c>
      <c r="B78" s="873" t="s">
        <v>2151</v>
      </c>
      <c r="C78" s="874" t="s">
        <v>2235</v>
      </c>
      <c r="D78" s="874" t="s">
        <v>2153</v>
      </c>
      <c r="E78" s="875">
        <v>0</v>
      </c>
      <c r="F78" s="876">
        <v>44248</v>
      </c>
      <c r="G78" s="877" t="s">
        <v>2184</v>
      </c>
      <c r="H78" s="878" t="s">
        <v>2558</v>
      </c>
      <c r="I78" s="879">
        <v>43334</v>
      </c>
      <c r="J78" s="873" t="s">
        <v>2343</v>
      </c>
    </row>
    <row r="79" spans="1:10" s="880" customFormat="1" ht="76.5" x14ac:dyDescent="0.2">
      <c r="A79" s="872" t="s">
        <v>2150</v>
      </c>
      <c r="B79" s="873" t="s">
        <v>2151</v>
      </c>
      <c r="C79" s="874" t="s">
        <v>2205</v>
      </c>
      <c r="D79" s="874" t="s">
        <v>2153</v>
      </c>
      <c r="E79" s="875">
        <v>0</v>
      </c>
      <c r="F79" s="876">
        <v>44248</v>
      </c>
      <c r="G79" s="877" t="s">
        <v>2184</v>
      </c>
      <c r="H79" s="878" t="s">
        <v>2558</v>
      </c>
      <c r="I79" s="879">
        <v>43334</v>
      </c>
      <c r="J79" s="873" t="s">
        <v>2343</v>
      </c>
    </row>
    <row r="80" spans="1:10" s="880" customFormat="1" ht="76.5" x14ac:dyDescent="0.2">
      <c r="A80" s="872" t="s">
        <v>2150</v>
      </c>
      <c r="B80" s="873" t="s">
        <v>2151</v>
      </c>
      <c r="C80" s="874" t="s">
        <v>2206</v>
      </c>
      <c r="D80" s="874" t="s">
        <v>2153</v>
      </c>
      <c r="E80" s="875">
        <v>0</v>
      </c>
      <c r="F80" s="876">
        <v>44248</v>
      </c>
      <c r="G80" s="877" t="s">
        <v>2184</v>
      </c>
      <c r="H80" s="878" t="s">
        <v>2558</v>
      </c>
      <c r="I80" s="879">
        <v>43334</v>
      </c>
      <c r="J80" s="873" t="s">
        <v>2343</v>
      </c>
    </row>
    <row r="81" spans="1:10" s="870" customFormat="1" ht="76.5" x14ac:dyDescent="0.2">
      <c r="A81" s="868" t="s">
        <v>2150</v>
      </c>
      <c r="B81" s="861" t="s">
        <v>2151</v>
      </c>
      <c r="C81" s="862" t="s">
        <v>2450</v>
      </c>
      <c r="D81" s="862" t="s">
        <v>2153</v>
      </c>
      <c r="E81" s="863">
        <v>0</v>
      </c>
      <c r="F81" s="864">
        <v>44355</v>
      </c>
      <c r="G81" s="865" t="s">
        <v>2451</v>
      </c>
      <c r="H81" s="866"/>
      <c r="I81" s="867">
        <v>43445</v>
      </c>
      <c r="J81" s="861" t="s">
        <v>2343</v>
      </c>
    </row>
    <row r="82" spans="1:10" s="880" customFormat="1" ht="76.5" x14ac:dyDescent="0.2">
      <c r="A82" s="872" t="s">
        <v>2150</v>
      </c>
      <c r="B82" s="873" t="s">
        <v>2151</v>
      </c>
      <c r="C82" s="874" t="s">
        <v>2559</v>
      </c>
      <c r="D82" s="874" t="s">
        <v>2153</v>
      </c>
      <c r="E82" s="875">
        <v>0</v>
      </c>
      <c r="F82" s="876">
        <v>44248</v>
      </c>
      <c r="G82" s="877" t="s">
        <v>2184</v>
      </c>
      <c r="H82" s="878" t="s">
        <v>2558</v>
      </c>
      <c r="I82" s="879">
        <v>43334</v>
      </c>
      <c r="J82" s="873" t="s">
        <v>2343</v>
      </c>
    </row>
    <row r="83" spans="1:10" s="880" customFormat="1" ht="76.5" x14ac:dyDescent="0.2">
      <c r="A83" s="872" t="s">
        <v>2150</v>
      </c>
      <c r="B83" s="873" t="s">
        <v>2151</v>
      </c>
      <c r="C83" s="874" t="s">
        <v>2208</v>
      </c>
      <c r="D83" s="874" t="s">
        <v>2153</v>
      </c>
      <c r="E83" s="875">
        <v>0</v>
      </c>
      <c r="F83" s="876">
        <v>44248</v>
      </c>
      <c r="G83" s="877" t="s">
        <v>2184</v>
      </c>
      <c r="H83" s="878" t="s">
        <v>2558</v>
      </c>
      <c r="I83" s="879">
        <v>43334</v>
      </c>
      <c r="J83" s="873" t="s">
        <v>2343</v>
      </c>
    </row>
    <row r="84" spans="1:10" s="880" customFormat="1" ht="76.5" x14ac:dyDescent="0.2">
      <c r="A84" s="872" t="s">
        <v>2150</v>
      </c>
      <c r="B84" s="873" t="s">
        <v>2151</v>
      </c>
      <c r="C84" s="874" t="s">
        <v>2209</v>
      </c>
      <c r="D84" s="874" t="s">
        <v>2153</v>
      </c>
      <c r="E84" s="875">
        <v>0</v>
      </c>
      <c r="F84" s="876">
        <v>44248</v>
      </c>
      <c r="G84" s="877" t="s">
        <v>2184</v>
      </c>
      <c r="H84" s="878" t="s">
        <v>2558</v>
      </c>
      <c r="I84" s="879">
        <v>43334</v>
      </c>
      <c r="J84" s="873" t="s">
        <v>2343</v>
      </c>
    </row>
    <row r="85" spans="1:10" s="880" customFormat="1" ht="76.5" x14ac:dyDescent="0.2">
      <c r="A85" s="872" t="s">
        <v>2150</v>
      </c>
      <c r="B85" s="873" t="s">
        <v>2151</v>
      </c>
      <c r="C85" s="874" t="s">
        <v>2210</v>
      </c>
      <c r="D85" s="874" t="s">
        <v>2153</v>
      </c>
      <c r="E85" s="875">
        <v>0</v>
      </c>
      <c r="F85" s="876">
        <v>44248</v>
      </c>
      <c r="G85" s="877" t="s">
        <v>2184</v>
      </c>
      <c r="H85" s="878" t="s">
        <v>2558</v>
      </c>
      <c r="I85" s="879">
        <v>43334</v>
      </c>
      <c r="J85" s="873" t="s">
        <v>2343</v>
      </c>
    </row>
    <row r="86" spans="1:10" s="880" customFormat="1" ht="76.5" x14ac:dyDescent="0.2">
      <c r="A86" s="872" t="s">
        <v>2150</v>
      </c>
      <c r="B86" s="873" t="s">
        <v>2151</v>
      </c>
      <c r="C86" s="874" t="s">
        <v>2211</v>
      </c>
      <c r="D86" s="874" t="s">
        <v>2153</v>
      </c>
      <c r="E86" s="875">
        <v>0</v>
      </c>
      <c r="F86" s="876">
        <v>44248</v>
      </c>
      <c r="G86" s="877" t="s">
        <v>2184</v>
      </c>
      <c r="H86" s="878" t="s">
        <v>2558</v>
      </c>
      <c r="I86" s="879">
        <v>43334</v>
      </c>
      <c r="J86" s="873" t="s">
        <v>2343</v>
      </c>
    </row>
    <row r="87" spans="1:10" s="880" customFormat="1" ht="76.5" x14ac:dyDescent="0.2">
      <c r="A87" s="872" t="s">
        <v>2150</v>
      </c>
      <c r="B87" s="873" t="s">
        <v>2151</v>
      </c>
      <c r="C87" s="874" t="s">
        <v>2212</v>
      </c>
      <c r="D87" s="874" t="s">
        <v>2153</v>
      </c>
      <c r="E87" s="875">
        <v>0</v>
      </c>
      <c r="F87" s="876">
        <v>44248</v>
      </c>
      <c r="G87" s="877" t="s">
        <v>2184</v>
      </c>
      <c r="H87" s="878" t="s">
        <v>2558</v>
      </c>
      <c r="I87" s="879">
        <v>43334</v>
      </c>
      <c r="J87" s="873" t="s">
        <v>2343</v>
      </c>
    </row>
    <row r="88" spans="1:10" s="880" customFormat="1" ht="76.5" x14ac:dyDescent="0.2">
      <c r="A88" s="872" t="s">
        <v>2150</v>
      </c>
      <c r="B88" s="873" t="s">
        <v>2151</v>
      </c>
      <c r="C88" s="874" t="s">
        <v>2158</v>
      </c>
      <c r="D88" s="874" t="s">
        <v>2153</v>
      </c>
      <c r="E88" s="875">
        <v>0</v>
      </c>
      <c r="F88" s="876">
        <v>44248</v>
      </c>
      <c r="G88" s="877" t="s">
        <v>2184</v>
      </c>
      <c r="H88" s="878" t="s">
        <v>2558</v>
      </c>
      <c r="I88" s="879">
        <v>43334</v>
      </c>
      <c r="J88" s="873" t="s">
        <v>2343</v>
      </c>
    </row>
    <row r="89" spans="1:10" s="880" customFormat="1" ht="76.5" x14ac:dyDescent="0.2">
      <c r="A89" s="872" t="s">
        <v>2150</v>
      </c>
      <c r="B89" s="873" t="s">
        <v>2151</v>
      </c>
      <c r="C89" s="874" t="s">
        <v>2213</v>
      </c>
      <c r="D89" s="874" t="s">
        <v>2153</v>
      </c>
      <c r="E89" s="875">
        <v>0</v>
      </c>
      <c r="F89" s="876">
        <v>44248</v>
      </c>
      <c r="G89" s="877" t="s">
        <v>2184</v>
      </c>
      <c r="H89" s="878" t="s">
        <v>2558</v>
      </c>
      <c r="I89" s="879">
        <v>43334</v>
      </c>
      <c r="J89" s="873" t="s">
        <v>2343</v>
      </c>
    </row>
    <row r="90" spans="1:10" s="880" customFormat="1" ht="76.5" x14ac:dyDescent="0.2">
      <c r="A90" s="872" t="s">
        <v>2150</v>
      </c>
      <c r="B90" s="873" t="s">
        <v>2151</v>
      </c>
      <c r="C90" s="874" t="s">
        <v>2284</v>
      </c>
      <c r="D90" s="874" t="s">
        <v>2153</v>
      </c>
      <c r="E90" s="875">
        <v>0</v>
      </c>
      <c r="F90" s="876">
        <v>44248</v>
      </c>
      <c r="G90" s="877" t="s">
        <v>2184</v>
      </c>
      <c r="H90" s="878" t="s">
        <v>2558</v>
      </c>
      <c r="I90" s="879">
        <v>43334</v>
      </c>
      <c r="J90" s="873" t="s">
        <v>2343</v>
      </c>
    </row>
    <row r="91" spans="1:10" s="880" customFormat="1" ht="76.5" x14ac:dyDescent="0.2">
      <c r="A91" s="872" t="s">
        <v>2150</v>
      </c>
      <c r="B91" s="873" t="s">
        <v>2151</v>
      </c>
      <c r="C91" s="874" t="s">
        <v>2215</v>
      </c>
      <c r="D91" s="874" t="s">
        <v>2153</v>
      </c>
      <c r="E91" s="875">
        <v>0</v>
      </c>
      <c r="F91" s="876">
        <v>44248</v>
      </c>
      <c r="G91" s="877" t="s">
        <v>2184</v>
      </c>
      <c r="H91" s="878" t="s">
        <v>2558</v>
      </c>
      <c r="I91" s="879">
        <v>43334</v>
      </c>
      <c r="J91" s="873" t="s">
        <v>2343</v>
      </c>
    </row>
    <row r="92" spans="1:10" s="880" customFormat="1" ht="76.5" x14ac:dyDescent="0.2">
      <c r="A92" s="872" t="s">
        <v>2150</v>
      </c>
      <c r="B92" s="873" t="s">
        <v>2151</v>
      </c>
      <c r="C92" s="874" t="s">
        <v>2216</v>
      </c>
      <c r="D92" s="874" t="s">
        <v>2153</v>
      </c>
      <c r="E92" s="875">
        <v>0</v>
      </c>
      <c r="F92" s="876">
        <v>44248</v>
      </c>
      <c r="G92" s="877" t="s">
        <v>2184</v>
      </c>
      <c r="H92" s="878" t="s">
        <v>2558</v>
      </c>
      <c r="I92" s="879">
        <v>43334</v>
      </c>
      <c r="J92" s="873" t="s">
        <v>2343</v>
      </c>
    </row>
    <row r="93" spans="1:10" s="880" customFormat="1" ht="76.5" x14ac:dyDescent="0.2">
      <c r="A93" s="872" t="s">
        <v>2150</v>
      </c>
      <c r="B93" s="873" t="s">
        <v>2151</v>
      </c>
      <c r="C93" s="874" t="s">
        <v>2217</v>
      </c>
      <c r="D93" s="874" t="s">
        <v>2153</v>
      </c>
      <c r="E93" s="875">
        <v>0</v>
      </c>
      <c r="F93" s="876">
        <v>44248</v>
      </c>
      <c r="G93" s="877" t="s">
        <v>2184</v>
      </c>
      <c r="H93" s="878" t="s">
        <v>2558</v>
      </c>
      <c r="I93" s="879">
        <v>43334</v>
      </c>
      <c r="J93" s="873" t="s">
        <v>2343</v>
      </c>
    </row>
    <row r="94" spans="1:10" s="880" customFormat="1" ht="76.5" x14ac:dyDescent="0.2">
      <c r="A94" s="872" t="s">
        <v>2150</v>
      </c>
      <c r="B94" s="873" t="s">
        <v>2151</v>
      </c>
      <c r="C94" s="874" t="s">
        <v>2218</v>
      </c>
      <c r="D94" s="874" t="s">
        <v>2153</v>
      </c>
      <c r="E94" s="875">
        <v>0</v>
      </c>
      <c r="F94" s="876">
        <v>44248</v>
      </c>
      <c r="G94" s="877" t="s">
        <v>2184</v>
      </c>
      <c r="H94" s="878" t="s">
        <v>2558</v>
      </c>
      <c r="I94" s="879">
        <v>43334</v>
      </c>
      <c r="J94" s="873" t="s">
        <v>2343</v>
      </c>
    </row>
    <row r="95" spans="1:10" s="880" customFormat="1" ht="76.5" x14ac:dyDescent="0.2">
      <c r="A95" s="872" t="s">
        <v>2150</v>
      </c>
      <c r="B95" s="873" t="s">
        <v>2151</v>
      </c>
      <c r="C95" s="874" t="s">
        <v>2219</v>
      </c>
      <c r="D95" s="874" t="s">
        <v>2153</v>
      </c>
      <c r="E95" s="875">
        <v>0</v>
      </c>
      <c r="F95" s="876">
        <v>44248</v>
      </c>
      <c r="G95" s="877" t="s">
        <v>2184</v>
      </c>
      <c r="H95" s="878" t="s">
        <v>2558</v>
      </c>
      <c r="I95" s="879">
        <v>43334</v>
      </c>
      <c r="J95" s="873" t="s">
        <v>2343</v>
      </c>
    </row>
    <row r="96" spans="1:10" s="880" customFormat="1" ht="76.5" x14ac:dyDescent="0.2">
      <c r="A96" s="872" t="s">
        <v>2150</v>
      </c>
      <c r="B96" s="873" t="s">
        <v>2151</v>
      </c>
      <c r="C96" s="874" t="s">
        <v>2221</v>
      </c>
      <c r="D96" s="874" t="s">
        <v>2153</v>
      </c>
      <c r="E96" s="875">
        <v>0</v>
      </c>
      <c r="F96" s="876">
        <v>44265</v>
      </c>
      <c r="G96" s="877" t="s">
        <v>2222</v>
      </c>
      <c r="H96" s="878" t="s">
        <v>2558</v>
      </c>
      <c r="I96" s="879">
        <v>43354</v>
      </c>
      <c r="J96" s="873" t="s">
        <v>2343</v>
      </c>
    </row>
    <row r="97" spans="1:10" s="870" customFormat="1" ht="76.5" x14ac:dyDescent="0.2">
      <c r="A97" s="868" t="s">
        <v>2150</v>
      </c>
      <c r="B97" s="861" t="s">
        <v>2151</v>
      </c>
      <c r="C97" s="862" t="s">
        <v>2223</v>
      </c>
      <c r="D97" s="862" t="s">
        <v>2153</v>
      </c>
      <c r="E97" s="863">
        <v>0</v>
      </c>
      <c r="F97" s="864">
        <v>44279</v>
      </c>
      <c r="G97" s="865" t="s">
        <v>2224</v>
      </c>
      <c r="H97" s="866" t="s">
        <v>2772</v>
      </c>
      <c r="I97" s="867">
        <v>43368</v>
      </c>
      <c r="J97" s="861" t="s">
        <v>2343</v>
      </c>
    </row>
    <row r="98" spans="1:10" s="870" customFormat="1" ht="76.5" x14ac:dyDescent="0.2">
      <c r="A98" s="868" t="s">
        <v>2150</v>
      </c>
      <c r="B98" s="861" t="s">
        <v>2151</v>
      </c>
      <c r="C98" s="862" t="s">
        <v>2230</v>
      </c>
      <c r="D98" s="862" t="s">
        <v>2153</v>
      </c>
      <c r="E98" s="863">
        <v>0</v>
      </c>
      <c r="F98" s="864">
        <v>44279</v>
      </c>
      <c r="G98" s="865" t="s">
        <v>2224</v>
      </c>
      <c r="H98" s="866" t="s">
        <v>2772</v>
      </c>
      <c r="I98" s="867">
        <v>43368</v>
      </c>
      <c r="J98" s="861" t="s">
        <v>2343</v>
      </c>
    </row>
    <row r="99" spans="1:10" s="870" customFormat="1" ht="76.5" x14ac:dyDescent="0.2">
      <c r="A99" s="868" t="s">
        <v>2150</v>
      </c>
      <c r="B99" s="861" t="s">
        <v>2151</v>
      </c>
      <c r="C99" s="862" t="s">
        <v>2233</v>
      </c>
      <c r="D99" s="862" t="s">
        <v>2153</v>
      </c>
      <c r="E99" s="863">
        <v>0</v>
      </c>
      <c r="F99" s="864">
        <v>44279</v>
      </c>
      <c r="G99" s="865" t="s">
        <v>2224</v>
      </c>
      <c r="H99" s="866" t="s">
        <v>2772</v>
      </c>
      <c r="I99" s="867">
        <v>43368</v>
      </c>
      <c r="J99" s="861" t="s">
        <v>2343</v>
      </c>
    </row>
    <row r="100" spans="1:10" s="870" customFormat="1" ht="76.5" x14ac:dyDescent="0.2">
      <c r="A100" s="868" t="s">
        <v>2150</v>
      </c>
      <c r="B100" s="861" t="s">
        <v>2151</v>
      </c>
      <c r="C100" s="862" t="s">
        <v>2573</v>
      </c>
      <c r="D100" s="862" t="s">
        <v>2153</v>
      </c>
      <c r="E100" s="863">
        <v>0</v>
      </c>
      <c r="F100" s="864">
        <v>44227</v>
      </c>
      <c r="G100" s="865" t="s">
        <v>2570</v>
      </c>
      <c r="H100" s="866" t="s">
        <v>2558</v>
      </c>
      <c r="I100" s="867">
        <v>43343</v>
      </c>
      <c r="J100" s="861" t="s">
        <v>2343</v>
      </c>
    </row>
    <row r="101" spans="1:10" s="870" customFormat="1" ht="76.5" x14ac:dyDescent="0.2">
      <c r="A101" s="868" t="s">
        <v>2150</v>
      </c>
      <c r="B101" s="861" t="s">
        <v>2151</v>
      </c>
      <c r="C101" s="862" t="s">
        <v>2234</v>
      </c>
      <c r="D101" s="862" t="s">
        <v>2153</v>
      </c>
      <c r="E101" s="863">
        <v>0</v>
      </c>
      <c r="F101" s="864">
        <v>44279</v>
      </c>
      <c r="G101" s="865" t="s">
        <v>2224</v>
      </c>
      <c r="H101" s="866" t="s">
        <v>2772</v>
      </c>
      <c r="I101" s="867">
        <v>43368</v>
      </c>
      <c r="J101" s="861" t="s">
        <v>2343</v>
      </c>
    </row>
    <row r="102" spans="1:10" s="870" customFormat="1" ht="38.25" x14ac:dyDescent="0.2">
      <c r="A102" s="868" t="s">
        <v>2690</v>
      </c>
      <c r="B102" s="861" t="s">
        <v>2798</v>
      </c>
      <c r="C102" s="862" t="s">
        <v>2237</v>
      </c>
      <c r="D102" s="862" t="s">
        <v>2238</v>
      </c>
      <c r="E102" s="863">
        <v>13619.71</v>
      </c>
      <c r="F102" s="864">
        <v>44385</v>
      </c>
      <c r="G102" s="865" t="s">
        <v>2691</v>
      </c>
      <c r="H102" s="866"/>
      <c r="I102" s="867">
        <v>43290</v>
      </c>
      <c r="J102" s="861" t="s">
        <v>2307</v>
      </c>
    </row>
    <row r="103" spans="1:10" s="870" customFormat="1" ht="38.25" x14ac:dyDescent="0.2">
      <c r="A103" s="868" t="s">
        <v>2240</v>
      </c>
      <c r="B103" s="861" t="s">
        <v>2151</v>
      </c>
      <c r="C103" s="862" t="s">
        <v>2241</v>
      </c>
      <c r="D103" s="862" t="s">
        <v>2242</v>
      </c>
      <c r="E103" s="863">
        <v>0</v>
      </c>
      <c r="F103" s="864">
        <v>43925</v>
      </c>
      <c r="G103" s="865" t="s">
        <v>2552</v>
      </c>
      <c r="H103" s="866" t="s">
        <v>2558</v>
      </c>
      <c r="I103" s="867">
        <v>43195</v>
      </c>
      <c r="J103" s="861" t="s">
        <v>2384</v>
      </c>
    </row>
    <row r="104" spans="1:10" s="870" customFormat="1" ht="38.25" x14ac:dyDescent="0.2">
      <c r="A104" s="868" t="s">
        <v>2240</v>
      </c>
      <c r="B104" s="861" t="s">
        <v>2151</v>
      </c>
      <c r="C104" s="862" t="s">
        <v>2244</v>
      </c>
      <c r="D104" s="862" t="s">
        <v>2242</v>
      </c>
      <c r="E104" s="863">
        <v>0</v>
      </c>
      <c r="F104" s="864">
        <v>43925</v>
      </c>
      <c r="G104" s="865" t="s">
        <v>2243</v>
      </c>
      <c r="H104" s="866"/>
      <c r="I104" s="867">
        <v>43195</v>
      </c>
      <c r="J104" s="861" t="s">
        <v>2384</v>
      </c>
    </row>
    <row r="105" spans="1:10" s="870" customFormat="1" ht="38.25" x14ac:dyDescent="0.2">
      <c r="A105" s="868" t="s">
        <v>2240</v>
      </c>
      <c r="B105" s="861" t="s">
        <v>2985</v>
      </c>
      <c r="C105" s="862" t="s">
        <v>2245</v>
      </c>
      <c r="D105" s="862" t="s">
        <v>2242</v>
      </c>
      <c r="E105" s="863">
        <v>0</v>
      </c>
      <c r="F105" s="864">
        <v>43925</v>
      </c>
      <c r="G105" s="865" t="s">
        <v>2552</v>
      </c>
      <c r="H105" s="866" t="s">
        <v>2558</v>
      </c>
      <c r="I105" s="867">
        <v>43195</v>
      </c>
      <c r="J105" s="861" t="s">
        <v>2384</v>
      </c>
    </row>
    <row r="106" spans="1:10" s="870" customFormat="1" ht="38.25" x14ac:dyDescent="0.2">
      <c r="A106" s="868" t="s">
        <v>2240</v>
      </c>
      <c r="B106" s="861" t="s">
        <v>2984</v>
      </c>
      <c r="C106" s="862" t="s">
        <v>2246</v>
      </c>
      <c r="D106" s="862" t="s">
        <v>2242</v>
      </c>
      <c r="E106" s="863">
        <v>0</v>
      </c>
      <c r="F106" s="864">
        <v>43925</v>
      </c>
      <c r="G106" s="865" t="s">
        <v>2552</v>
      </c>
      <c r="H106" s="866" t="s">
        <v>2558</v>
      </c>
      <c r="I106" s="867">
        <v>43195</v>
      </c>
      <c r="J106" s="861" t="s">
        <v>2384</v>
      </c>
    </row>
    <row r="107" spans="1:10" s="870" customFormat="1" ht="38.25" x14ac:dyDescent="0.2">
      <c r="A107" s="868" t="s">
        <v>2240</v>
      </c>
      <c r="B107" s="861" t="s">
        <v>2151</v>
      </c>
      <c r="C107" s="862" t="s">
        <v>2247</v>
      </c>
      <c r="D107" s="862" t="s">
        <v>2242</v>
      </c>
      <c r="E107" s="863">
        <v>0</v>
      </c>
      <c r="F107" s="864">
        <v>43925</v>
      </c>
      <c r="G107" s="865" t="s">
        <v>2552</v>
      </c>
      <c r="H107" s="866" t="s">
        <v>2558</v>
      </c>
      <c r="I107" s="867">
        <v>43195</v>
      </c>
      <c r="J107" s="861" t="s">
        <v>2384</v>
      </c>
    </row>
    <row r="108" spans="1:10" s="870" customFormat="1" ht="38.25" x14ac:dyDescent="0.2">
      <c r="A108" s="868" t="s">
        <v>2240</v>
      </c>
      <c r="B108" s="861" t="s">
        <v>2151</v>
      </c>
      <c r="C108" s="862" t="s">
        <v>2249</v>
      </c>
      <c r="D108" s="862" t="s">
        <v>2242</v>
      </c>
      <c r="E108" s="863">
        <v>0</v>
      </c>
      <c r="F108" s="864">
        <v>43925</v>
      </c>
      <c r="G108" s="865" t="s">
        <v>2552</v>
      </c>
      <c r="H108" s="866" t="s">
        <v>2558</v>
      </c>
      <c r="I108" s="867">
        <v>43195</v>
      </c>
      <c r="J108" s="861" t="s">
        <v>2384</v>
      </c>
    </row>
    <row r="109" spans="1:10" s="870" customFormat="1" ht="38.25" x14ac:dyDescent="0.2">
      <c r="A109" s="868" t="s">
        <v>2240</v>
      </c>
      <c r="B109" s="861" t="s">
        <v>2151</v>
      </c>
      <c r="C109" s="862" t="s">
        <v>2252</v>
      </c>
      <c r="D109" s="862" t="s">
        <v>2242</v>
      </c>
      <c r="E109" s="863">
        <v>0</v>
      </c>
      <c r="F109" s="864">
        <v>43925</v>
      </c>
      <c r="G109" s="865" t="s">
        <v>2552</v>
      </c>
      <c r="H109" s="866" t="s">
        <v>2558</v>
      </c>
      <c r="I109" s="867">
        <v>43195</v>
      </c>
      <c r="J109" s="861" t="s">
        <v>2384</v>
      </c>
    </row>
    <row r="110" spans="1:10" s="870" customFormat="1" ht="38.25" x14ac:dyDescent="0.2">
      <c r="A110" s="868" t="s">
        <v>2240</v>
      </c>
      <c r="B110" s="861" t="s">
        <v>2151</v>
      </c>
      <c r="C110" s="862" t="s">
        <v>2553</v>
      </c>
      <c r="D110" s="862" t="s">
        <v>2242</v>
      </c>
      <c r="E110" s="863">
        <v>0</v>
      </c>
      <c r="F110" s="864">
        <v>43925</v>
      </c>
      <c r="G110" s="865" t="s">
        <v>2552</v>
      </c>
      <c r="H110" s="866" t="s">
        <v>2558</v>
      </c>
      <c r="I110" s="867">
        <v>43195</v>
      </c>
      <c r="J110" s="861" t="s">
        <v>2384</v>
      </c>
    </row>
    <row r="111" spans="1:10" s="870" customFormat="1" ht="38.25" x14ac:dyDescent="0.2">
      <c r="A111" s="868" t="s">
        <v>2240</v>
      </c>
      <c r="B111" s="861" t="s">
        <v>2986</v>
      </c>
      <c r="C111" s="862" t="s">
        <v>2254</v>
      </c>
      <c r="D111" s="862" t="s">
        <v>2242</v>
      </c>
      <c r="E111" s="863">
        <v>0</v>
      </c>
      <c r="F111" s="864">
        <v>43925</v>
      </c>
      <c r="G111" s="865" t="s">
        <v>2552</v>
      </c>
      <c r="H111" s="866" t="s">
        <v>2558</v>
      </c>
      <c r="I111" s="867">
        <v>43195</v>
      </c>
      <c r="J111" s="861" t="s">
        <v>2384</v>
      </c>
    </row>
    <row r="112" spans="1:10" s="870" customFormat="1" ht="38.25" x14ac:dyDescent="0.2">
      <c r="A112" s="868" t="s">
        <v>2240</v>
      </c>
      <c r="B112" s="861" t="s">
        <v>2984</v>
      </c>
      <c r="C112" s="862" t="s">
        <v>2255</v>
      </c>
      <c r="D112" s="862" t="s">
        <v>2242</v>
      </c>
      <c r="E112" s="863">
        <v>0</v>
      </c>
      <c r="F112" s="864">
        <v>43925</v>
      </c>
      <c r="G112" s="865" t="s">
        <v>2552</v>
      </c>
      <c r="H112" s="866" t="s">
        <v>2558</v>
      </c>
      <c r="I112" s="867">
        <v>43195</v>
      </c>
      <c r="J112" s="861" t="s">
        <v>2384</v>
      </c>
    </row>
    <row r="113" spans="1:10" s="870" customFormat="1" ht="38.25" x14ac:dyDescent="0.2">
      <c r="A113" s="868" t="s">
        <v>2240</v>
      </c>
      <c r="B113" s="861" t="s">
        <v>2151</v>
      </c>
      <c r="C113" s="862" t="s">
        <v>2256</v>
      </c>
      <c r="D113" s="862" t="s">
        <v>2242</v>
      </c>
      <c r="E113" s="863">
        <v>0</v>
      </c>
      <c r="F113" s="864">
        <v>43925</v>
      </c>
      <c r="G113" s="865" t="s">
        <v>2552</v>
      </c>
      <c r="H113" s="866" t="s">
        <v>2558</v>
      </c>
      <c r="I113" s="867">
        <v>43195</v>
      </c>
      <c r="J113" s="861" t="s">
        <v>2384</v>
      </c>
    </row>
    <row r="114" spans="1:10" s="870" customFormat="1" ht="38.25" x14ac:dyDescent="0.2">
      <c r="A114" s="868" t="s">
        <v>2240</v>
      </c>
      <c r="B114" s="861" t="s">
        <v>2151</v>
      </c>
      <c r="C114" s="862" t="s">
        <v>2257</v>
      </c>
      <c r="D114" s="862" t="s">
        <v>2242</v>
      </c>
      <c r="E114" s="863">
        <v>0</v>
      </c>
      <c r="F114" s="864">
        <v>43925</v>
      </c>
      <c r="G114" s="865" t="s">
        <v>2552</v>
      </c>
      <c r="H114" s="866" t="s">
        <v>2558</v>
      </c>
      <c r="I114" s="867">
        <v>43195</v>
      </c>
      <c r="J114" s="861" t="s">
        <v>2384</v>
      </c>
    </row>
    <row r="115" spans="1:10" s="870" customFormat="1" ht="38.25" x14ac:dyDescent="0.2">
      <c r="A115" s="868" t="s">
        <v>2240</v>
      </c>
      <c r="B115" s="861" t="s">
        <v>2151</v>
      </c>
      <c r="C115" s="862" t="s">
        <v>2258</v>
      </c>
      <c r="D115" s="862" t="s">
        <v>2242</v>
      </c>
      <c r="E115" s="863">
        <v>0</v>
      </c>
      <c r="F115" s="864">
        <v>43925</v>
      </c>
      <c r="G115" s="865" t="s">
        <v>2552</v>
      </c>
      <c r="H115" s="866" t="s">
        <v>2558</v>
      </c>
      <c r="I115" s="867">
        <v>43195</v>
      </c>
      <c r="J115" s="861" t="s">
        <v>2384</v>
      </c>
    </row>
    <row r="116" spans="1:10" s="870" customFormat="1" ht="38.25" x14ac:dyDescent="0.2">
      <c r="A116" s="868" t="s">
        <v>2240</v>
      </c>
      <c r="B116" s="861" t="s">
        <v>2151</v>
      </c>
      <c r="C116" s="862" t="s">
        <v>2259</v>
      </c>
      <c r="D116" s="862" t="s">
        <v>2242</v>
      </c>
      <c r="E116" s="863">
        <v>0</v>
      </c>
      <c r="F116" s="864">
        <v>43925</v>
      </c>
      <c r="G116" s="865" t="s">
        <v>2552</v>
      </c>
      <c r="H116" s="866" t="s">
        <v>2558</v>
      </c>
      <c r="I116" s="867">
        <v>43195</v>
      </c>
      <c r="J116" s="861" t="s">
        <v>2384</v>
      </c>
    </row>
    <row r="117" spans="1:10" s="870" customFormat="1" ht="38.25" x14ac:dyDescent="0.2">
      <c r="A117" s="868" t="s">
        <v>2240</v>
      </c>
      <c r="B117" s="861" t="s">
        <v>2151</v>
      </c>
      <c r="C117" s="862" t="s">
        <v>2260</v>
      </c>
      <c r="D117" s="862" t="s">
        <v>2242</v>
      </c>
      <c r="E117" s="863">
        <v>0</v>
      </c>
      <c r="F117" s="864">
        <v>43925</v>
      </c>
      <c r="G117" s="865" t="s">
        <v>2552</v>
      </c>
      <c r="H117" s="866" t="s">
        <v>2558</v>
      </c>
      <c r="I117" s="867">
        <v>43195</v>
      </c>
      <c r="J117" s="861" t="s">
        <v>2384</v>
      </c>
    </row>
    <row r="118" spans="1:10" s="870" customFormat="1" ht="38.25" x14ac:dyDescent="0.2">
      <c r="A118" s="868" t="s">
        <v>2240</v>
      </c>
      <c r="B118" s="861" t="s">
        <v>2151</v>
      </c>
      <c r="C118" s="862" t="s">
        <v>2261</v>
      </c>
      <c r="D118" s="862" t="s">
        <v>2242</v>
      </c>
      <c r="E118" s="863">
        <v>0</v>
      </c>
      <c r="F118" s="864">
        <v>43925</v>
      </c>
      <c r="G118" s="865" t="s">
        <v>2552</v>
      </c>
      <c r="H118" s="866" t="s">
        <v>2558</v>
      </c>
      <c r="I118" s="867">
        <v>43195</v>
      </c>
      <c r="J118" s="861" t="s">
        <v>2384</v>
      </c>
    </row>
    <row r="119" spans="1:10" s="870" customFormat="1" ht="38.25" x14ac:dyDescent="0.2">
      <c r="A119" s="868" t="s">
        <v>2240</v>
      </c>
      <c r="B119" s="861" t="s">
        <v>2151</v>
      </c>
      <c r="C119" s="862" t="s">
        <v>2262</v>
      </c>
      <c r="D119" s="862" t="s">
        <v>2242</v>
      </c>
      <c r="E119" s="863">
        <v>0</v>
      </c>
      <c r="F119" s="864">
        <v>43925</v>
      </c>
      <c r="G119" s="865" t="s">
        <v>2552</v>
      </c>
      <c r="H119" s="866" t="s">
        <v>2558</v>
      </c>
      <c r="I119" s="867">
        <v>43195</v>
      </c>
      <c r="J119" s="861" t="s">
        <v>2384</v>
      </c>
    </row>
    <row r="120" spans="1:10" s="870" customFormat="1" ht="54.95" customHeight="1" x14ac:dyDescent="0.2">
      <c r="A120" s="868" t="s">
        <v>2240</v>
      </c>
      <c r="B120" s="861" t="s">
        <v>2151</v>
      </c>
      <c r="C120" s="862" t="s">
        <v>2263</v>
      </c>
      <c r="D120" s="862" t="s">
        <v>2242</v>
      </c>
      <c r="E120" s="863">
        <v>0</v>
      </c>
      <c r="F120" s="864">
        <v>43925</v>
      </c>
      <c r="G120" s="865" t="s">
        <v>2552</v>
      </c>
      <c r="H120" s="866" t="s">
        <v>2558</v>
      </c>
      <c r="I120" s="867">
        <v>43195</v>
      </c>
      <c r="J120" s="861" t="s">
        <v>2384</v>
      </c>
    </row>
    <row r="121" spans="1:10" s="870" customFormat="1" ht="38.25" x14ac:dyDescent="0.2">
      <c r="A121" s="868" t="s">
        <v>1916</v>
      </c>
      <c r="B121" s="861" t="s">
        <v>1917</v>
      </c>
      <c r="C121" s="862" t="s">
        <v>2265</v>
      </c>
      <c r="D121" s="862" t="s">
        <v>1919</v>
      </c>
      <c r="E121" s="863">
        <v>0</v>
      </c>
      <c r="F121" s="864">
        <v>44332</v>
      </c>
      <c r="G121" s="865" t="s">
        <v>2695</v>
      </c>
      <c r="H121" s="866" t="s">
        <v>2558</v>
      </c>
      <c r="I121" s="867">
        <v>43236</v>
      </c>
      <c r="J121" s="861" t="s">
        <v>2291</v>
      </c>
    </row>
    <row r="122" spans="1:10" s="870" customFormat="1" ht="25.5" x14ac:dyDescent="0.2">
      <c r="A122" s="868" t="s">
        <v>2296</v>
      </c>
      <c r="B122" s="861" t="s">
        <v>2297</v>
      </c>
      <c r="C122" s="862" t="s">
        <v>2399</v>
      </c>
      <c r="D122" s="862" t="s">
        <v>2298</v>
      </c>
      <c r="E122" s="863">
        <v>80196</v>
      </c>
      <c r="F122" s="864">
        <v>43943</v>
      </c>
      <c r="G122" s="865" t="s">
        <v>2299</v>
      </c>
      <c r="H122" s="866" t="s">
        <v>2558</v>
      </c>
      <c r="I122" s="867">
        <v>43578</v>
      </c>
      <c r="J122" s="861" t="s">
        <v>2379</v>
      </c>
    </row>
    <row r="123" spans="1:10" s="870" customFormat="1" ht="25.5" x14ac:dyDescent="0.2">
      <c r="A123" s="868" t="s">
        <v>2308</v>
      </c>
      <c r="B123" s="861" t="s">
        <v>2309</v>
      </c>
      <c r="C123" s="862" t="s">
        <v>2310</v>
      </c>
      <c r="D123" s="862" t="s">
        <v>2311</v>
      </c>
      <c r="E123" s="863">
        <v>34977</v>
      </c>
      <c r="F123" s="864">
        <v>44227</v>
      </c>
      <c r="G123" s="865" t="s">
        <v>2677</v>
      </c>
      <c r="H123" s="866" t="s">
        <v>2558</v>
      </c>
      <c r="I123" s="867">
        <v>43497</v>
      </c>
      <c r="J123" s="861" t="s">
        <v>2313</v>
      </c>
    </row>
    <row r="124" spans="1:10" s="870" customFormat="1" ht="25.5" x14ac:dyDescent="0.2">
      <c r="A124" s="868" t="s">
        <v>2319</v>
      </c>
      <c r="B124" s="861" t="s">
        <v>2320</v>
      </c>
      <c r="C124" s="862" t="s">
        <v>2321</v>
      </c>
      <c r="D124" s="862" t="s">
        <v>2322</v>
      </c>
      <c r="E124" s="863">
        <v>54785.04</v>
      </c>
      <c r="F124" s="864">
        <v>44209</v>
      </c>
      <c r="G124" s="865" t="s">
        <v>2671</v>
      </c>
      <c r="H124" s="866" t="s">
        <v>2558</v>
      </c>
      <c r="I124" s="867">
        <v>43479</v>
      </c>
      <c r="J124" s="861" t="s">
        <v>2291</v>
      </c>
    </row>
    <row r="125" spans="1:10" s="870" customFormat="1" ht="76.5" x14ac:dyDescent="0.2">
      <c r="A125" s="868" t="s">
        <v>2324</v>
      </c>
      <c r="B125" s="861" t="s">
        <v>2325</v>
      </c>
      <c r="C125" s="862" t="s">
        <v>2326</v>
      </c>
      <c r="D125" s="862" t="s">
        <v>1984</v>
      </c>
      <c r="E125" s="863">
        <v>223186.12</v>
      </c>
      <c r="F125" s="864">
        <v>44275</v>
      </c>
      <c r="G125" s="865" t="s">
        <v>2682</v>
      </c>
      <c r="H125" s="866" t="s">
        <v>2558</v>
      </c>
      <c r="I125" s="867">
        <v>43544</v>
      </c>
      <c r="J125" s="861" t="s">
        <v>2774</v>
      </c>
    </row>
    <row r="126" spans="1:10" s="870" customFormat="1" ht="38.25" x14ac:dyDescent="0.2">
      <c r="A126" s="868" t="s">
        <v>2328</v>
      </c>
      <c r="B126" s="861" t="s">
        <v>2301</v>
      </c>
      <c r="C126" s="862" t="s">
        <v>2678</v>
      </c>
      <c r="D126" s="862" t="s">
        <v>2330</v>
      </c>
      <c r="E126" s="863">
        <v>24510</v>
      </c>
      <c r="F126" s="864">
        <v>44226</v>
      </c>
      <c r="G126" s="865" t="s">
        <v>2702</v>
      </c>
      <c r="H126" s="866" t="s">
        <v>2558</v>
      </c>
      <c r="I126" s="867">
        <v>43496</v>
      </c>
      <c r="J126" s="861" t="s">
        <v>2379</v>
      </c>
    </row>
    <row r="127" spans="1:10" s="870" customFormat="1" ht="38.25" x14ac:dyDescent="0.2">
      <c r="A127" s="868" t="s">
        <v>2332</v>
      </c>
      <c r="B127" s="861" t="s">
        <v>2798</v>
      </c>
      <c r="C127" s="862" t="s">
        <v>2078</v>
      </c>
      <c r="D127" s="862" t="s">
        <v>2079</v>
      </c>
      <c r="E127" s="863">
        <v>9600</v>
      </c>
      <c r="F127" s="864">
        <v>44227</v>
      </c>
      <c r="G127" s="865" t="s">
        <v>2676</v>
      </c>
      <c r="H127" s="866" t="s">
        <v>2558</v>
      </c>
      <c r="I127" s="867">
        <v>43497</v>
      </c>
      <c r="J127" s="861" t="s">
        <v>2291</v>
      </c>
    </row>
    <row r="128" spans="1:10" s="870" customFormat="1" ht="63.75" x14ac:dyDescent="0.2">
      <c r="A128" s="868" t="s">
        <v>2334</v>
      </c>
      <c r="B128" s="861" t="s">
        <v>2974</v>
      </c>
      <c r="C128" s="862" t="s">
        <v>2293</v>
      </c>
      <c r="D128" s="862" t="s">
        <v>2335</v>
      </c>
      <c r="E128" s="863">
        <v>30104.04</v>
      </c>
      <c r="F128" s="864">
        <v>44232</v>
      </c>
      <c r="G128" s="865" t="s">
        <v>2673</v>
      </c>
      <c r="H128" s="866" t="s">
        <v>2558</v>
      </c>
      <c r="I128" s="867">
        <v>43502</v>
      </c>
      <c r="J128" s="861" t="s">
        <v>2291</v>
      </c>
    </row>
    <row r="129" spans="1:10" s="870" customFormat="1" ht="38.25" x14ac:dyDescent="0.2">
      <c r="A129" s="868" t="s">
        <v>2150</v>
      </c>
      <c r="B129" s="861" t="s">
        <v>2802</v>
      </c>
      <c r="C129" s="862" t="s">
        <v>2338</v>
      </c>
      <c r="D129" s="862" t="s">
        <v>2339</v>
      </c>
      <c r="E129" s="863">
        <v>0</v>
      </c>
      <c r="F129" s="864">
        <v>44405</v>
      </c>
      <c r="G129" s="865" t="s">
        <v>2340</v>
      </c>
      <c r="H129" s="866"/>
      <c r="I129" s="867">
        <v>43494</v>
      </c>
      <c r="J129" s="861" t="s">
        <v>2343</v>
      </c>
    </row>
    <row r="130" spans="1:10" s="870" customFormat="1" ht="38.25" x14ac:dyDescent="0.2">
      <c r="A130" s="868" t="s">
        <v>2150</v>
      </c>
      <c r="B130" s="861" t="s">
        <v>2802</v>
      </c>
      <c r="C130" s="862" t="s">
        <v>2341</v>
      </c>
      <c r="D130" s="862" t="s">
        <v>2339</v>
      </c>
      <c r="E130" s="863">
        <v>0</v>
      </c>
      <c r="F130" s="864">
        <v>44406</v>
      </c>
      <c r="G130" s="865" t="s">
        <v>2342</v>
      </c>
      <c r="H130" s="866"/>
      <c r="I130" s="867">
        <v>43495</v>
      </c>
      <c r="J130" s="861" t="s">
        <v>2343</v>
      </c>
    </row>
    <row r="131" spans="1:10" s="870" customFormat="1" ht="38.25" x14ac:dyDescent="0.2">
      <c r="A131" s="868" t="s">
        <v>2150</v>
      </c>
      <c r="B131" s="861" t="s">
        <v>2802</v>
      </c>
      <c r="C131" s="862" t="s">
        <v>2344</v>
      </c>
      <c r="D131" s="862" t="s">
        <v>2339</v>
      </c>
      <c r="E131" s="863">
        <v>0</v>
      </c>
      <c r="F131" s="864">
        <v>44415</v>
      </c>
      <c r="G131" s="865" t="s">
        <v>2345</v>
      </c>
      <c r="H131" s="866"/>
      <c r="I131" s="867">
        <v>43504</v>
      </c>
      <c r="J131" s="861" t="s">
        <v>2343</v>
      </c>
    </row>
    <row r="132" spans="1:10" s="870" customFormat="1" ht="38.25" x14ac:dyDescent="0.2">
      <c r="A132" s="868" t="s">
        <v>2150</v>
      </c>
      <c r="B132" s="861" t="s">
        <v>2802</v>
      </c>
      <c r="C132" s="862" t="s">
        <v>2351</v>
      </c>
      <c r="D132" s="862" t="s">
        <v>2339</v>
      </c>
      <c r="E132" s="863">
        <v>0</v>
      </c>
      <c r="F132" s="864">
        <v>44422</v>
      </c>
      <c r="G132" s="865" t="s">
        <v>2346</v>
      </c>
      <c r="H132" s="866"/>
      <c r="I132" s="867">
        <v>43511</v>
      </c>
      <c r="J132" s="861" t="s">
        <v>2343</v>
      </c>
    </row>
    <row r="133" spans="1:10" s="870" customFormat="1" ht="63.75" x14ac:dyDescent="0.2">
      <c r="A133" s="868" t="s">
        <v>2561</v>
      </c>
      <c r="B133" s="861" t="s">
        <v>2802</v>
      </c>
      <c r="C133" s="862" t="s">
        <v>2444</v>
      </c>
      <c r="D133" s="862" t="s">
        <v>2562</v>
      </c>
      <c r="E133" s="863">
        <v>0</v>
      </c>
      <c r="F133" s="864">
        <v>44354</v>
      </c>
      <c r="G133" s="865" t="s">
        <v>2346</v>
      </c>
      <c r="H133" s="866"/>
      <c r="I133" s="867">
        <v>43511</v>
      </c>
      <c r="J133" s="861" t="s">
        <v>2343</v>
      </c>
    </row>
    <row r="134" spans="1:10" s="870" customFormat="1" ht="38.25" x14ac:dyDescent="0.2">
      <c r="A134" s="868" t="s">
        <v>2150</v>
      </c>
      <c r="B134" s="861" t="s">
        <v>2802</v>
      </c>
      <c r="C134" s="862" t="s">
        <v>2347</v>
      </c>
      <c r="D134" s="862" t="s">
        <v>2339</v>
      </c>
      <c r="E134" s="863">
        <v>0</v>
      </c>
      <c r="F134" s="864">
        <v>44411</v>
      </c>
      <c r="G134" s="865" t="s">
        <v>2563</v>
      </c>
      <c r="H134" s="866"/>
      <c r="I134" s="867">
        <v>43444</v>
      </c>
      <c r="J134" s="861" t="s">
        <v>2343</v>
      </c>
    </row>
    <row r="135" spans="1:10" s="880" customFormat="1" ht="38.25" x14ac:dyDescent="0.2">
      <c r="A135" s="872" t="s">
        <v>2150</v>
      </c>
      <c r="B135" s="873" t="s">
        <v>2802</v>
      </c>
      <c r="C135" s="874" t="s">
        <v>2446</v>
      </c>
      <c r="D135" s="874" t="s">
        <v>2339</v>
      </c>
      <c r="E135" s="875">
        <v>0</v>
      </c>
      <c r="F135" s="876">
        <v>44262</v>
      </c>
      <c r="G135" s="877" t="s">
        <v>2564</v>
      </c>
      <c r="H135" s="878" t="s">
        <v>2558</v>
      </c>
      <c r="I135" s="879">
        <v>43381</v>
      </c>
      <c r="J135" s="873" t="s">
        <v>2343</v>
      </c>
    </row>
    <row r="136" spans="1:10" s="870" customFormat="1" ht="38.25" x14ac:dyDescent="0.2">
      <c r="A136" s="868" t="s">
        <v>2150</v>
      </c>
      <c r="B136" s="861" t="s">
        <v>2802</v>
      </c>
      <c r="C136" s="862" t="s">
        <v>2349</v>
      </c>
      <c r="D136" s="862" t="s">
        <v>2339</v>
      </c>
      <c r="E136" s="863">
        <v>0</v>
      </c>
      <c r="F136" s="864">
        <v>44422</v>
      </c>
      <c r="G136" s="865" t="s">
        <v>2346</v>
      </c>
      <c r="H136" s="866"/>
      <c r="I136" s="867">
        <v>43511</v>
      </c>
      <c r="J136" s="861" t="s">
        <v>2343</v>
      </c>
    </row>
    <row r="137" spans="1:10" s="870" customFormat="1" ht="38.25" x14ac:dyDescent="0.2">
      <c r="A137" s="868" t="s">
        <v>2150</v>
      </c>
      <c r="B137" s="861" t="s">
        <v>2802</v>
      </c>
      <c r="C137" s="862" t="s">
        <v>2350</v>
      </c>
      <c r="D137" s="862" t="s">
        <v>2339</v>
      </c>
      <c r="E137" s="863">
        <v>0</v>
      </c>
      <c r="F137" s="864">
        <v>44411</v>
      </c>
      <c r="G137" s="865" t="s">
        <v>2348</v>
      </c>
      <c r="H137" s="866"/>
      <c r="I137" s="867">
        <v>43500</v>
      </c>
      <c r="J137" s="861" t="s">
        <v>2343</v>
      </c>
    </row>
    <row r="138" spans="1:10" s="870" customFormat="1" ht="38.25" x14ac:dyDescent="0.2">
      <c r="A138" s="868" t="s">
        <v>2150</v>
      </c>
      <c r="B138" s="861" t="s">
        <v>2802</v>
      </c>
      <c r="C138" s="862" t="s">
        <v>2356</v>
      </c>
      <c r="D138" s="862" t="s">
        <v>2339</v>
      </c>
      <c r="E138" s="863">
        <v>0</v>
      </c>
      <c r="F138" s="864">
        <v>44439</v>
      </c>
      <c r="G138" s="865" t="s">
        <v>2357</v>
      </c>
      <c r="H138" s="866"/>
      <c r="I138" s="867">
        <v>43525</v>
      </c>
      <c r="J138" s="861" t="s">
        <v>2343</v>
      </c>
    </row>
    <row r="139" spans="1:10" s="880" customFormat="1" ht="51" x14ac:dyDescent="0.2">
      <c r="A139" s="872" t="s">
        <v>2358</v>
      </c>
      <c r="B139" s="873" t="s">
        <v>2359</v>
      </c>
      <c r="C139" s="874" t="s">
        <v>2360</v>
      </c>
      <c r="D139" s="874" t="s">
        <v>2361</v>
      </c>
      <c r="E139" s="875">
        <v>20321.759999999998</v>
      </c>
      <c r="F139" s="876">
        <v>44254</v>
      </c>
      <c r="G139" s="877" t="s">
        <v>2673</v>
      </c>
      <c r="H139" s="878" t="s">
        <v>2558</v>
      </c>
      <c r="I139" s="879">
        <v>43524</v>
      </c>
      <c r="J139" s="873" t="s">
        <v>2313</v>
      </c>
    </row>
    <row r="140" spans="1:10" s="870" customFormat="1" ht="38.25" x14ac:dyDescent="0.2">
      <c r="A140" s="868" t="s">
        <v>2364</v>
      </c>
      <c r="B140" s="861" t="s">
        <v>24</v>
      </c>
      <c r="C140" s="862" t="s">
        <v>2367</v>
      </c>
      <c r="D140" s="862" t="s">
        <v>2773</v>
      </c>
      <c r="E140" s="863">
        <v>175000</v>
      </c>
      <c r="F140" s="864">
        <v>44290</v>
      </c>
      <c r="G140" s="865" t="s">
        <v>2673</v>
      </c>
      <c r="H140" s="866" t="s">
        <v>2558</v>
      </c>
      <c r="I140" s="867">
        <v>43560</v>
      </c>
      <c r="J140" s="861" t="s">
        <v>54</v>
      </c>
    </row>
    <row r="141" spans="1:10" s="870" customFormat="1" ht="54" customHeight="1" x14ac:dyDescent="0.2">
      <c r="A141" s="868" t="s">
        <v>2150</v>
      </c>
      <c r="B141" s="861" t="s">
        <v>2802</v>
      </c>
      <c r="C141" s="862" t="s">
        <v>2368</v>
      </c>
      <c r="D141" s="862" t="s">
        <v>2339</v>
      </c>
      <c r="E141" s="863">
        <v>0</v>
      </c>
      <c r="F141" s="864">
        <v>44479</v>
      </c>
      <c r="G141" s="865" t="s">
        <v>2369</v>
      </c>
      <c r="H141" s="866"/>
      <c r="I141" s="867">
        <v>43566</v>
      </c>
      <c r="J141" s="861" t="s">
        <v>2343</v>
      </c>
    </row>
    <row r="142" spans="1:10" s="870" customFormat="1" ht="60" customHeight="1" x14ac:dyDescent="0.2">
      <c r="A142" s="868" t="s">
        <v>2150</v>
      </c>
      <c r="B142" s="861" t="s">
        <v>2802</v>
      </c>
      <c r="C142" s="862" t="s">
        <v>2370</v>
      </c>
      <c r="D142" s="862" t="s">
        <v>2339</v>
      </c>
      <c r="E142" s="863">
        <v>0</v>
      </c>
      <c r="F142" s="864">
        <v>44472</v>
      </c>
      <c r="G142" s="865" t="s">
        <v>2371</v>
      </c>
      <c r="H142" s="866"/>
      <c r="I142" s="867">
        <v>43559</v>
      </c>
      <c r="J142" s="861" t="s">
        <v>2343</v>
      </c>
    </row>
    <row r="143" spans="1:10" s="870" customFormat="1" ht="51" x14ac:dyDescent="0.2">
      <c r="A143" s="868" t="s">
        <v>1976</v>
      </c>
      <c r="B143" s="861" t="s">
        <v>1980</v>
      </c>
      <c r="C143" s="862" t="s">
        <v>1547</v>
      </c>
      <c r="D143" s="862" t="s">
        <v>2396</v>
      </c>
      <c r="E143" s="863">
        <v>96460.91</v>
      </c>
      <c r="F143" s="864">
        <v>44340</v>
      </c>
      <c r="G143" s="865" t="s">
        <v>2686</v>
      </c>
      <c r="H143" s="866"/>
      <c r="I143" s="867">
        <v>42725</v>
      </c>
      <c r="J143" s="861" t="s">
        <v>2291</v>
      </c>
    </row>
    <row r="144" spans="1:10" s="870" customFormat="1" ht="38.25" x14ac:dyDescent="0.2">
      <c r="A144" s="868" t="s">
        <v>2400</v>
      </c>
      <c r="B144" s="861" t="s">
        <v>2798</v>
      </c>
      <c r="C144" s="862" t="s">
        <v>171</v>
      </c>
      <c r="D144" s="862" t="s">
        <v>1846</v>
      </c>
      <c r="E144" s="863">
        <v>20000</v>
      </c>
      <c r="F144" s="864">
        <v>44220</v>
      </c>
      <c r="G144" s="865" t="s">
        <v>2670</v>
      </c>
      <c r="H144" s="866" t="s">
        <v>2558</v>
      </c>
      <c r="I144" s="867">
        <v>43489</v>
      </c>
      <c r="J144" s="861" t="s">
        <v>54</v>
      </c>
    </row>
    <row r="145" spans="1:10" s="870" customFormat="1" ht="38.25" x14ac:dyDescent="0.2">
      <c r="A145" s="868" t="s">
        <v>2150</v>
      </c>
      <c r="B145" s="861" t="s">
        <v>2802</v>
      </c>
      <c r="C145" s="862" t="s">
        <v>2568</v>
      </c>
      <c r="D145" s="862" t="s">
        <v>2470</v>
      </c>
      <c r="E145" s="863">
        <v>0</v>
      </c>
      <c r="F145" s="864">
        <v>44357</v>
      </c>
      <c r="G145" s="865" t="s">
        <v>2471</v>
      </c>
      <c r="H145" s="866"/>
      <c r="I145" s="867">
        <v>43445</v>
      </c>
      <c r="J145" s="861" t="s">
        <v>2343</v>
      </c>
    </row>
    <row r="146" spans="1:10" s="870" customFormat="1" ht="52.5" customHeight="1" x14ac:dyDescent="0.2">
      <c r="A146" s="868" t="s">
        <v>2684</v>
      </c>
      <c r="B146" s="861" t="s">
        <v>2473</v>
      </c>
      <c r="C146" s="862" t="s">
        <v>212</v>
      </c>
      <c r="D146" s="862" t="s">
        <v>2474</v>
      </c>
      <c r="E146" s="863">
        <v>10909.8</v>
      </c>
      <c r="F146" s="864">
        <v>44337</v>
      </c>
      <c r="G146" s="865" t="s">
        <v>2685</v>
      </c>
      <c r="H146" s="866"/>
      <c r="I146" s="867">
        <v>43607</v>
      </c>
      <c r="J146" s="861" t="s">
        <v>2291</v>
      </c>
    </row>
    <row r="147" spans="1:10" s="870" customFormat="1" ht="76.5" customHeight="1" x14ac:dyDescent="0.2">
      <c r="A147" s="868" t="s">
        <v>2476</v>
      </c>
      <c r="B147" s="861" t="s">
        <v>2477</v>
      </c>
      <c r="C147" s="862" t="s">
        <v>2478</v>
      </c>
      <c r="D147" s="862" t="s">
        <v>2479</v>
      </c>
      <c r="E147" s="863">
        <v>99011</v>
      </c>
      <c r="F147" s="864">
        <v>44344</v>
      </c>
      <c r="G147" s="865" t="s">
        <v>2697</v>
      </c>
      <c r="H147" s="866" t="s">
        <v>2558</v>
      </c>
      <c r="I147" s="867">
        <v>43614</v>
      </c>
      <c r="J147" s="861" t="s">
        <v>2291</v>
      </c>
    </row>
    <row r="148" spans="1:10" s="870" customFormat="1" ht="38.25" x14ac:dyDescent="0.2">
      <c r="A148" s="868" t="s">
        <v>2481</v>
      </c>
      <c r="B148" s="861" t="s">
        <v>2482</v>
      </c>
      <c r="C148" s="862" t="s">
        <v>2483</v>
      </c>
      <c r="D148" s="862" t="s">
        <v>2484</v>
      </c>
      <c r="E148" s="863">
        <v>31120</v>
      </c>
      <c r="F148" s="864">
        <v>44361</v>
      </c>
      <c r="G148" s="865" t="s">
        <v>2687</v>
      </c>
      <c r="H148" s="866"/>
      <c r="I148" s="867">
        <v>43630</v>
      </c>
      <c r="J148" s="861" t="s">
        <v>54</v>
      </c>
    </row>
    <row r="149" spans="1:10" s="870" customFormat="1" ht="63.75" x14ac:dyDescent="0.2">
      <c r="A149" s="868" t="s">
        <v>2490</v>
      </c>
      <c r="B149" s="861" t="s">
        <v>2491</v>
      </c>
      <c r="C149" s="862" t="s">
        <v>2680</v>
      </c>
      <c r="D149" s="862" t="s">
        <v>2493</v>
      </c>
      <c r="E149" s="863">
        <v>1704070.08</v>
      </c>
      <c r="F149" s="864">
        <v>44421</v>
      </c>
      <c r="G149" s="865" t="s">
        <v>2694</v>
      </c>
      <c r="H149" s="866"/>
      <c r="I149" s="867">
        <v>43691</v>
      </c>
      <c r="J149" s="861" t="s">
        <v>2307</v>
      </c>
    </row>
    <row r="150" spans="1:10" s="870" customFormat="1" ht="54" customHeight="1" x14ac:dyDescent="0.2">
      <c r="A150" s="868" t="s">
        <v>2494</v>
      </c>
      <c r="B150" s="861" t="s">
        <v>24</v>
      </c>
      <c r="C150" s="862" t="s">
        <v>62</v>
      </c>
      <c r="D150" s="862" t="s">
        <v>2496</v>
      </c>
      <c r="E150" s="863">
        <v>11760</v>
      </c>
      <c r="F150" s="864">
        <v>44061</v>
      </c>
      <c r="G150" s="865" t="s">
        <v>2497</v>
      </c>
      <c r="H150" s="866" t="s">
        <v>2558</v>
      </c>
      <c r="I150" s="867">
        <v>43696</v>
      </c>
      <c r="J150" s="861" t="s">
        <v>2291</v>
      </c>
    </row>
    <row r="151" spans="1:10" s="870" customFormat="1" ht="54" customHeight="1" x14ac:dyDescent="0.2">
      <c r="A151" s="868" t="s">
        <v>2766</v>
      </c>
      <c r="B151" s="861" t="s">
        <v>24</v>
      </c>
      <c r="C151" s="862" t="s">
        <v>62</v>
      </c>
      <c r="D151" s="862" t="s">
        <v>2496</v>
      </c>
      <c r="E151" s="863">
        <v>11760</v>
      </c>
      <c r="F151" s="864">
        <v>44476</v>
      </c>
      <c r="G151" s="865" t="s">
        <v>2767</v>
      </c>
      <c r="H151" s="866"/>
      <c r="I151" s="867">
        <v>44112</v>
      </c>
      <c r="J151" s="861" t="s">
        <v>2291</v>
      </c>
    </row>
    <row r="152" spans="1:10" s="870" customFormat="1" ht="38.25" x14ac:dyDescent="0.2">
      <c r="A152" s="868" t="s">
        <v>2498</v>
      </c>
      <c r="B152" s="861" t="s">
        <v>2798</v>
      </c>
      <c r="C152" s="862" t="s">
        <v>2501</v>
      </c>
      <c r="D152" s="862" t="s">
        <v>2502</v>
      </c>
      <c r="E152" s="863">
        <v>6930</v>
      </c>
      <c r="F152" s="864">
        <v>44072</v>
      </c>
      <c r="G152" s="865" t="s">
        <v>2503</v>
      </c>
      <c r="H152" s="866" t="s">
        <v>2558</v>
      </c>
      <c r="I152" s="867">
        <v>43707</v>
      </c>
      <c r="J152" s="861" t="s">
        <v>2384</v>
      </c>
    </row>
    <row r="153" spans="1:10" s="870" customFormat="1" ht="76.5" x14ac:dyDescent="0.2">
      <c r="A153" s="868" t="s">
        <v>2504</v>
      </c>
      <c r="B153" s="861" t="s">
        <v>2798</v>
      </c>
      <c r="C153" s="862" t="s">
        <v>2505</v>
      </c>
      <c r="D153" s="862" t="s">
        <v>2506</v>
      </c>
      <c r="E153" s="863">
        <v>9600</v>
      </c>
      <c r="F153" s="864">
        <v>44134</v>
      </c>
      <c r="G153" s="865" t="s">
        <v>2507</v>
      </c>
      <c r="H153" s="866" t="s">
        <v>2558</v>
      </c>
      <c r="I153" s="867">
        <v>43769</v>
      </c>
      <c r="J153" s="861" t="s">
        <v>2379</v>
      </c>
    </row>
    <row r="154" spans="1:10" s="870" customFormat="1" ht="38.25" x14ac:dyDescent="0.2">
      <c r="A154" s="868" t="s">
        <v>2508</v>
      </c>
      <c r="B154" s="861" t="s">
        <v>2798</v>
      </c>
      <c r="C154" s="862" t="s">
        <v>2509</v>
      </c>
      <c r="D154" s="862" t="s">
        <v>2510</v>
      </c>
      <c r="E154" s="863">
        <v>6351.36</v>
      </c>
      <c r="F154" s="864">
        <v>44153</v>
      </c>
      <c r="G154" s="865" t="s">
        <v>2511</v>
      </c>
      <c r="H154" s="866" t="s">
        <v>2558</v>
      </c>
      <c r="I154" s="867">
        <v>43788</v>
      </c>
      <c r="J154" s="861" t="s">
        <v>2307</v>
      </c>
    </row>
    <row r="155" spans="1:10" s="870" customFormat="1" ht="38.25" x14ac:dyDescent="0.2">
      <c r="A155" s="868" t="s">
        <v>2512</v>
      </c>
      <c r="B155" s="861" t="s">
        <v>2516</v>
      </c>
      <c r="C155" s="862" t="s">
        <v>2515</v>
      </c>
      <c r="D155" s="862" t="s">
        <v>2517</v>
      </c>
      <c r="E155" s="863">
        <v>264000</v>
      </c>
      <c r="F155" s="864">
        <v>45473</v>
      </c>
      <c r="G155" s="865" t="s">
        <v>2518</v>
      </c>
      <c r="H155" s="866"/>
      <c r="I155" s="867">
        <v>43647</v>
      </c>
      <c r="J155" s="861" t="s">
        <v>2379</v>
      </c>
    </row>
    <row r="156" spans="1:10" s="870" customFormat="1" ht="38.25" x14ac:dyDescent="0.2">
      <c r="A156" s="868" t="s">
        <v>2519</v>
      </c>
      <c r="B156" s="861" t="s">
        <v>2513</v>
      </c>
      <c r="C156" s="862" t="s">
        <v>2520</v>
      </c>
      <c r="D156" s="862" t="s">
        <v>2521</v>
      </c>
      <c r="E156" s="863">
        <v>11799.96</v>
      </c>
      <c r="F156" s="864">
        <v>44048</v>
      </c>
      <c r="G156" s="865" t="s">
        <v>2522</v>
      </c>
      <c r="H156" s="866"/>
      <c r="I156" s="867">
        <v>43683</v>
      </c>
      <c r="J156" s="861" t="s">
        <v>2379</v>
      </c>
    </row>
    <row r="157" spans="1:10" s="870" customFormat="1" ht="67.5" customHeight="1" x14ac:dyDescent="0.2">
      <c r="A157" s="868" t="s">
        <v>2523</v>
      </c>
      <c r="B157" s="861" t="s">
        <v>2524</v>
      </c>
      <c r="C157" s="862" t="s">
        <v>2525</v>
      </c>
      <c r="D157" s="862" t="s">
        <v>2526</v>
      </c>
      <c r="E157" s="863">
        <v>112593</v>
      </c>
      <c r="F157" s="864">
        <v>45565</v>
      </c>
      <c r="G157" s="865" t="s">
        <v>2527</v>
      </c>
      <c r="H157" s="866"/>
      <c r="I157" s="867">
        <v>43739</v>
      </c>
      <c r="J157" s="861"/>
    </row>
    <row r="158" spans="1:10" s="870" customFormat="1" ht="51" x14ac:dyDescent="0.2">
      <c r="A158" s="868" t="s">
        <v>2528</v>
      </c>
      <c r="B158" s="861" t="s">
        <v>2420</v>
      </c>
      <c r="C158" s="862" t="s">
        <v>2529</v>
      </c>
      <c r="D158" s="862" t="s">
        <v>2530</v>
      </c>
      <c r="E158" s="863">
        <v>0</v>
      </c>
      <c r="F158" s="864">
        <v>44113</v>
      </c>
      <c r="G158" s="865" t="s">
        <v>2531</v>
      </c>
      <c r="H158" s="866" t="s">
        <v>2558</v>
      </c>
      <c r="I158" s="867">
        <v>43748</v>
      </c>
      <c r="J158" s="861" t="s">
        <v>2385</v>
      </c>
    </row>
    <row r="159" spans="1:10" s="870" customFormat="1" ht="51" x14ac:dyDescent="0.2">
      <c r="A159" s="868" t="s">
        <v>2528</v>
      </c>
      <c r="B159" s="861" t="s">
        <v>2420</v>
      </c>
      <c r="C159" s="862" t="s">
        <v>2532</v>
      </c>
      <c r="D159" s="862" t="s">
        <v>2530</v>
      </c>
      <c r="E159" s="863">
        <v>0</v>
      </c>
      <c r="F159" s="864">
        <v>44113</v>
      </c>
      <c r="G159" s="865" t="s">
        <v>2531</v>
      </c>
      <c r="H159" s="866" t="s">
        <v>2558</v>
      </c>
      <c r="I159" s="867">
        <v>43748</v>
      </c>
      <c r="J159" s="861" t="s">
        <v>2385</v>
      </c>
    </row>
    <row r="160" spans="1:10" s="870" customFormat="1" ht="51" x14ac:dyDescent="0.2">
      <c r="A160" s="868" t="s">
        <v>2528</v>
      </c>
      <c r="B160" s="861" t="s">
        <v>2420</v>
      </c>
      <c r="C160" s="862" t="s">
        <v>2533</v>
      </c>
      <c r="D160" s="862" t="s">
        <v>2530</v>
      </c>
      <c r="E160" s="863">
        <v>0</v>
      </c>
      <c r="F160" s="864">
        <v>44113</v>
      </c>
      <c r="G160" s="865" t="s">
        <v>2531</v>
      </c>
      <c r="H160" s="866" t="s">
        <v>2558</v>
      </c>
      <c r="I160" s="867">
        <v>43748</v>
      </c>
      <c r="J160" s="861" t="s">
        <v>2385</v>
      </c>
    </row>
    <row r="161" spans="1:10" s="870" customFormat="1" ht="51" x14ac:dyDescent="0.2">
      <c r="A161" s="868" t="s">
        <v>2528</v>
      </c>
      <c r="B161" s="861" t="s">
        <v>2420</v>
      </c>
      <c r="C161" s="862" t="s">
        <v>2534</v>
      </c>
      <c r="D161" s="862" t="s">
        <v>2530</v>
      </c>
      <c r="E161" s="863">
        <v>0</v>
      </c>
      <c r="F161" s="864">
        <v>44113</v>
      </c>
      <c r="G161" s="865" t="s">
        <v>2531</v>
      </c>
      <c r="H161" s="866" t="s">
        <v>2558</v>
      </c>
      <c r="I161" s="867">
        <v>43748</v>
      </c>
      <c r="J161" s="861" t="s">
        <v>2385</v>
      </c>
    </row>
    <row r="162" spans="1:10" s="870" customFormat="1" ht="51" x14ac:dyDescent="0.2">
      <c r="A162" s="868" t="s">
        <v>2528</v>
      </c>
      <c r="B162" s="861" t="s">
        <v>2420</v>
      </c>
      <c r="C162" s="862" t="s">
        <v>2535</v>
      </c>
      <c r="D162" s="862" t="s">
        <v>2530</v>
      </c>
      <c r="E162" s="863">
        <v>0</v>
      </c>
      <c r="F162" s="864">
        <v>44113</v>
      </c>
      <c r="G162" s="865" t="s">
        <v>2531</v>
      </c>
      <c r="H162" s="866" t="s">
        <v>2558</v>
      </c>
      <c r="I162" s="867">
        <v>43748</v>
      </c>
      <c r="J162" s="861" t="s">
        <v>2385</v>
      </c>
    </row>
    <row r="163" spans="1:10" s="870" customFormat="1" ht="51" x14ac:dyDescent="0.2">
      <c r="A163" s="868" t="s">
        <v>2528</v>
      </c>
      <c r="B163" s="861" t="s">
        <v>2420</v>
      </c>
      <c r="C163" s="862" t="s">
        <v>2536</v>
      </c>
      <c r="D163" s="862" t="s">
        <v>2530</v>
      </c>
      <c r="E163" s="863">
        <v>0</v>
      </c>
      <c r="F163" s="864">
        <v>44113</v>
      </c>
      <c r="G163" s="865" t="s">
        <v>2531</v>
      </c>
      <c r="H163" s="866" t="s">
        <v>2558</v>
      </c>
      <c r="I163" s="867">
        <v>43748</v>
      </c>
      <c r="J163" s="861" t="s">
        <v>2385</v>
      </c>
    </row>
    <row r="164" spans="1:10" s="870" customFormat="1" ht="51" x14ac:dyDescent="0.2">
      <c r="A164" s="868" t="s">
        <v>2528</v>
      </c>
      <c r="B164" s="861" t="s">
        <v>2420</v>
      </c>
      <c r="C164" s="862" t="s">
        <v>2537</v>
      </c>
      <c r="D164" s="862" t="s">
        <v>2530</v>
      </c>
      <c r="E164" s="863">
        <v>0</v>
      </c>
      <c r="F164" s="864">
        <v>44113</v>
      </c>
      <c r="G164" s="865" t="s">
        <v>2531</v>
      </c>
      <c r="H164" s="866" t="s">
        <v>2558</v>
      </c>
      <c r="I164" s="867">
        <v>43748</v>
      </c>
      <c r="J164" s="861" t="s">
        <v>2385</v>
      </c>
    </row>
    <row r="165" spans="1:10" s="870" customFormat="1" ht="51" x14ac:dyDescent="0.2">
      <c r="A165" s="868" t="s">
        <v>2528</v>
      </c>
      <c r="B165" s="861" t="s">
        <v>2420</v>
      </c>
      <c r="C165" s="862" t="s">
        <v>2538</v>
      </c>
      <c r="D165" s="862" t="s">
        <v>2530</v>
      </c>
      <c r="E165" s="863">
        <v>0</v>
      </c>
      <c r="F165" s="864">
        <v>44113</v>
      </c>
      <c r="G165" s="865" t="s">
        <v>2531</v>
      </c>
      <c r="H165" s="866" t="s">
        <v>2558</v>
      </c>
      <c r="I165" s="867">
        <v>43748</v>
      </c>
      <c r="J165" s="861" t="s">
        <v>2385</v>
      </c>
    </row>
    <row r="166" spans="1:10" s="870" customFormat="1" ht="51" x14ac:dyDescent="0.2">
      <c r="A166" s="868" t="s">
        <v>2528</v>
      </c>
      <c r="B166" s="861" t="s">
        <v>2420</v>
      </c>
      <c r="C166" s="862" t="s">
        <v>2539</v>
      </c>
      <c r="D166" s="862" t="s">
        <v>2530</v>
      </c>
      <c r="E166" s="863">
        <v>0</v>
      </c>
      <c r="F166" s="864">
        <v>44113</v>
      </c>
      <c r="G166" s="865" t="s">
        <v>2531</v>
      </c>
      <c r="H166" s="866" t="s">
        <v>2558</v>
      </c>
      <c r="I166" s="867">
        <v>43748</v>
      </c>
      <c r="J166" s="861" t="s">
        <v>2385</v>
      </c>
    </row>
    <row r="167" spans="1:10" s="870" customFormat="1" ht="51" x14ac:dyDescent="0.2">
      <c r="A167" s="868" t="s">
        <v>2528</v>
      </c>
      <c r="B167" s="861" t="s">
        <v>2420</v>
      </c>
      <c r="C167" s="862" t="s">
        <v>2540</v>
      </c>
      <c r="D167" s="862" t="s">
        <v>2530</v>
      </c>
      <c r="E167" s="863">
        <v>0</v>
      </c>
      <c r="F167" s="864">
        <v>44113</v>
      </c>
      <c r="G167" s="865" t="s">
        <v>2531</v>
      </c>
      <c r="H167" s="866" t="s">
        <v>2558</v>
      </c>
      <c r="I167" s="867">
        <v>43748</v>
      </c>
      <c r="J167" s="861" t="s">
        <v>2385</v>
      </c>
    </row>
    <row r="168" spans="1:10" s="870" customFormat="1" ht="38.25" x14ac:dyDescent="0.2">
      <c r="A168" s="868" t="s">
        <v>2574</v>
      </c>
      <c r="B168" s="861" t="s">
        <v>24</v>
      </c>
      <c r="C168" s="862" t="s">
        <v>2575</v>
      </c>
      <c r="D168" s="862" t="s">
        <v>2576</v>
      </c>
      <c r="E168" s="863">
        <v>220617.13</v>
      </c>
      <c r="F168" s="864">
        <v>44243</v>
      </c>
      <c r="G168" s="865" t="s">
        <v>2577</v>
      </c>
      <c r="H168" s="866" t="s">
        <v>2558</v>
      </c>
      <c r="I168" s="867">
        <v>43878</v>
      </c>
      <c r="J168" s="861" t="s">
        <v>2291</v>
      </c>
    </row>
    <row r="169" spans="1:10" s="870" customFormat="1" ht="102" x14ac:dyDescent="0.2">
      <c r="A169" s="868" t="s">
        <v>2579</v>
      </c>
      <c r="B169" s="861" t="s">
        <v>2799</v>
      </c>
      <c r="C169" s="862" t="s">
        <v>2580</v>
      </c>
      <c r="D169" s="862" t="s">
        <v>2585</v>
      </c>
      <c r="E169" s="863">
        <v>0</v>
      </c>
      <c r="F169" s="864">
        <v>44328</v>
      </c>
      <c r="G169" s="865" t="s">
        <v>2581</v>
      </c>
      <c r="H169" s="866"/>
      <c r="I169" s="867">
        <v>43964</v>
      </c>
      <c r="J169" s="861"/>
    </row>
    <row r="170" spans="1:10" s="870" customFormat="1" ht="102" x14ac:dyDescent="0.2">
      <c r="A170" s="868" t="s">
        <v>2579</v>
      </c>
      <c r="B170" s="861" t="s">
        <v>2799</v>
      </c>
      <c r="C170" s="862" t="s">
        <v>2582</v>
      </c>
      <c r="D170" s="862" t="s">
        <v>2585</v>
      </c>
      <c r="E170" s="863">
        <v>0</v>
      </c>
      <c r="F170" s="864">
        <v>44335</v>
      </c>
      <c r="G170" s="865" t="s">
        <v>2583</v>
      </c>
      <c r="H170" s="866"/>
      <c r="I170" s="867">
        <v>43971</v>
      </c>
      <c r="J170" s="861"/>
    </row>
    <row r="171" spans="1:10" s="870" customFormat="1" ht="102" x14ac:dyDescent="0.2">
      <c r="A171" s="868" t="s">
        <v>2579</v>
      </c>
      <c r="B171" s="861" t="s">
        <v>2799</v>
      </c>
      <c r="C171" s="862" t="s">
        <v>2584</v>
      </c>
      <c r="D171" s="862" t="s">
        <v>2585</v>
      </c>
      <c r="E171" s="863">
        <v>0</v>
      </c>
      <c r="F171" s="864">
        <v>44350</v>
      </c>
      <c r="G171" s="865" t="s">
        <v>2589</v>
      </c>
      <c r="H171" s="866"/>
      <c r="I171" s="867">
        <v>43986</v>
      </c>
      <c r="J171" s="861"/>
    </row>
    <row r="172" spans="1:10" s="870" customFormat="1" ht="63.75" x14ac:dyDescent="0.2">
      <c r="A172" s="868" t="s">
        <v>2586</v>
      </c>
      <c r="B172" s="861" t="s">
        <v>2798</v>
      </c>
      <c r="C172" s="862" t="s">
        <v>2587</v>
      </c>
      <c r="D172" s="862" t="s">
        <v>2588</v>
      </c>
      <c r="E172" s="863">
        <v>45000</v>
      </c>
      <c r="F172" s="864">
        <v>44237</v>
      </c>
      <c r="G172" s="865" t="s">
        <v>2701</v>
      </c>
      <c r="H172" s="866" t="s">
        <v>2558</v>
      </c>
      <c r="I172" s="867">
        <v>43992</v>
      </c>
      <c r="J172" s="861"/>
    </row>
    <row r="173" spans="1:10" s="870" customFormat="1" ht="63.75" x14ac:dyDescent="0.2">
      <c r="A173" s="868" t="s">
        <v>2590</v>
      </c>
      <c r="B173" s="861" t="s">
        <v>2596</v>
      </c>
      <c r="C173" s="862" t="s">
        <v>2591</v>
      </c>
      <c r="D173" s="862" t="s">
        <v>2592</v>
      </c>
      <c r="E173" s="863">
        <v>109000</v>
      </c>
      <c r="F173" s="864">
        <v>45739</v>
      </c>
      <c r="G173" s="865" t="s">
        <v>2593</v>
      </c>
      <c r="H173" s="866"/>
      <c r="I173" s="867">
        <v>43914</v>
      </c>
      <c r="J173" s="861" t="s">
        <v>2379</v>
      </c>
    </row>
    <row r="174" spans="1:10" s="870" customFormat="1" ht="63.75" x14ac:dyDescent="0.2">
      <c r="A174" s="868" t="s">
        <v>2594</v>
      </c>
      <c r="B174" s="861" t="s">
        <v>2595</v>
      </c>
      <c r="C174" s="862" t="s">
        <v>2068</v>
      </c>
      <c r="D174" s="862" t="s">
        <v>2597</v>
      </c>
      <c r="E174" s="863">
        <v>450000</v>
      </c>
      <c r="F174" s="864">
        <v>45408</v>
      </c>
      <c r="G174" s="865" t="s">
        <v>2598</v>
      </c>
      <c r="H174" s="866"/>
      <c r="I174" s="867">
        <v>43948</v>
      </c>
      <c r="J174" s="861" t="s">
        <v>2379</v>
      </c>
    </row>
    <row r="175" spans="1:10" s="870" customFormat="1" ht="38.25" x14ac:dyDescent="0.2">
      <c r="A175" s="868" t="s">
        <v>2599</v>
      </c>
      <c r="B175" s="861"/>
      <c r="C175" s="862" t="s">
        <v>2600</v>
      </c>
      <c r="D175" s="862" t="s">
        <v>2601</v>
      </c>
      <c r="E175" s="863">
        <v>32369.59</v>
      </c>
      <c r="F175" s="864">
        <v>45049</v>
      </c>
      <c r="G175" s="865" t="s">
        <v>2602</v>
      </c>
      <c r="H175" s="866"/>
      <c r="I175" s="867">
        <v>43955</v>
      </c>
      <c r="J175" s="861" t="s">
        <v>2379</v>
      </c>
    </row>
    <row r="176" spans="1:10" s="870" customFormat="1" ht="38.25" x14ac:dyDescent="0.2">
      <c r="A176" s="868" t="s">
        <v>2603</v>
      </c>
      <c r="B176" s="861" t="s">
        <v>2987</v>
      </c>
      <c r="C176" s="862" t="s">
        <v>2604</v>
      </c>
      <c r="D176" s="862" t="s">
        <v>2669</v>
      </c>
      <c r="E176" s="863">
        <v>0</v>
      </c>
      <c r="F176" s="864">
        <v>44315</v>
      </c>
      <c r="G176" s="865" t="s">
        <v>2668</v>
      </c>
      <c r="H176" s="866"/>
      <c r="I176" s="867">
        <v>43951</v>
      </c>
      <c r="J176" s="861"/>
    </row>
    <row r="177" spans="1:10" s="870" customFormat="1" ht="38.25" x14ac:dyDescent="0.2">
      <c r="A177" s="868" t="s">
        <v>2603</v>
      </c>
      <c r="B177" s="861" t="s">
        <v>2987</v>
      </c>
      <c r="C177" s="862" t="s">
        <v>2605</v>
      </c>
      <c r="D177" s="862" t="s">
        <v>2669</v>
      </c>
      <c r="E177" s="863">
        <v>0</v>
      </c>
      <c r="F177" s="864">
        <v>44315</v>
      </c>
      <c r="G177" s="865" t="s">
        <v>2668</v>
      </c>
      <c r="H177" s="866"/>
      <c r="I177" s="867">
        <v>43951</v>
      </c>
      <c r="J177" s="861"/>
    </row>
    <row r="178" spans="1:10" s="870" customFormat="1" ht="38.25" x14ac:dyDescent="0.2">
      <c r="A178" s="868" t="s">
        <v>2603</v>
      </c>
      <c r="B178" s="861" t="s">
        <v>2988</v>
      </c>
      <c r="C178" s="862" t="s">
        <v>2606</v>
      </c>
      <c r="D178" s="862" t="s">
        <v>2669</v>
      </c>
      <c r="E178" s="863">
        <v>0</v>
      </c>
      <c r="F178" s="864">
        <v>44315</v>
      </c>
      <c r="G178" s="865" t="s">
        <v>2668</v>
      </c>
      <c r="H178" s="866"/>
      <c r="I178" s="867">
        <v>43951</v>
      </c>
      <c r="J178" s="861"/>
    </row>
    <row r="179" spans="1:10" s="870" customFormat="1" ht="53.25" customHeight="1" x14ac:dyDescent="0.2">
      <c r="A179" s="868" t="s">
        <v>2603</v>
      </c>
      <c r="B179" s="861" t="s">
        <v>2987</v>
      </c>
      <c r="C179" s="862" t="s">
        <v>2456</v>
      </c>
      <c r="D179" s="862" t="s">
        <v>2669</v>
      </c>
      <c r="E179" s="863">
        <v>0</v>
      </c>
      <c r="F179" s="864">
        <v>44315</v>
      </c>
      <c r="G179" s="865" t="s">
        <v>2668</v>
      </c>
      <c r="H179" s="866"/>
      <c r="I179" s="867">
        <v>43951</v>
      </c>
      <c r="J179" s="861"/>
    </row>
    <row r="180" spans="1:10" s="870" customFormat="1" ht="45" customHeight="1" x14ac:dyDescent="0.2">
      <c r="A180" s="868" t="s">
        <v>2603</v>
      </c>
      <c r="B180" s="861" t="s">
        <v>2987</v>
      </c>
      <c r="C180" s="862" t="s">
        <v>2607</v>
      </c>
      <c r="D180" s="862" t="s">
        <v>2669</v>
      </c>
      <c r="E180" s="863">
        <v>0</v>
      </c>
      <c r="F180" s="864">
        <v>44315</v>
      </c>
      <c r="G180" s="865" t="s">
        <v>2668</v>
      </c>
      <c r="H180" s="866"/>
      <c r="I180" s="867">
        <v>43951</v>
      </c>
      <c r="J180" s="861"/>
    </row>
    <row r="181" spans="1:10" s="870" customFormat="1" ht="38.25" x14ac:dyDescent="0.2">
      <c r="A181" s="868" t="s">
        <v>2603</v>
      </c>
      <c r="B181" s="861" t="s">
        <v>2989</v>
      </c>
      <c r="C181" s="862" t="s">
        <v>2608</v>
      </c>
      <c r="D181" s="862" t="s">
        <v>2669</v>
      </c>
      <c r="E181" s="863">
        <v>0</v>
      </c>
      <c r="F181" s="864">
        <v>44315</v>
      </c>
      <c r="G181" s="865" t="s">
        <v>2668</v>
      </c>
      <c r="H181" s="866"/>
      <c r="I181" s="867">
        <v>43951</v>
      </c>
      <c r="J181" s="861"/>
    </row>
    <row r="182" spans="1:10" s="870" customFormat="1" ht="38.25" x14ac:dyDescent="0.2">
      <c r="A182" s="868" t="s">
        <v>2603</v>
      </c>
      <c r="B182" s="861" t="s">
        <v>2990</v>
      </c>
      <c r="C182" s="862" t="s">
        <v>2609</v>
      </c>
      <c r="D182" s="862" t="s">
        <v>2669</v>
      </c>
      <c r="E182" s="863">
        <v>0</v>
      </c>
      <c r="F182" s="864">
        <v>44315</v>
      </c>
      <c r="G182" s="865" t="s">
        <v>2668</v>
      </c>
      <c r="H182" s="866"/>
      <c r="I182" s="867">
        <v>43951</v>
      </c>
      <c r="J182" s="861"/>
    </row>
    <row r="183" spans="1:10" s="870" customFormat="1" ht="38.25" x14ac:dyDescent="0.2">
      <c r="A183" s="868" t="s">
        <v>2603</v>
      </c>
      <c r="B183" s="861" t="s">
        <v>2800</v>
      </c>
      <c r="C183" s="862" t="s">
        <v>2610</v>
      </c>
      <c r="D183" s="862" t="s">
        <v>2669</v>
      </c>
      <c r="E183" s="863">
        <v>0</v>
      </c>
      <c r="F183" s="864">
        <v>44315</v>
      </c>
      <c r="G183" s="865" t="s">
        <v>2668</v>
      </c>
      <c r="H183" s="866"/>
      <c r="I183" s="867">
        <v>43951</v>
      </c>
      <c r="J183" s="861"/>
    </row>
    <row r="184" spans="1:10" s="870" customFormat="1" ht="38.25" x14ac:dyDescent="0.2">
      <c r="A184" s="868" t="s">
        <v>2603</v>
      </c>
      <c r="B184" s="861" t="s">
        <v>2990</v>
      </c>
      <c r="C184" s="862" t="s">
        <v>2611</v>
      </c>
      <c r="D184" s="862" t="s">
        <v>2669</v>
      </c>
      <c r="E184" s="863">
        <v>0</v>
      </c>
      <c r="F184" s="864">
        <v>44315</v>
      </c>
      <c r="G184" s="865" t="s">
        <v>2668</v>
      </c>
      <c r="H184" s="866"/>
      <c r="I184" s="867">
        <v>43951</v>
      </c>
      <c r="J184" s="861"/>
    </row>
    <row r="185" spans="1:10" s="870" customFormat="1" ht="38.25" x14ac:dyDescent="0.2">
      <c r="A185" s="868" t="s">
        <v>2603</v>
      </c>
      <c r="B185" s="861" t="s">
        <v>2990</v>
      </c>
      <c r="C185" s="862" t="s">
        <v>2613</v>
      </c>
      <c r="D185" s="862" t="s">
        <v>2669</v>
      </c>
      <c r="E185" s="863">
        <v>0</v>
      </c>
      <c r="F185" s="864">
        <v>44315</v>
      </c>
      <c r="G185" s="865" t="s">
        <v>2668</v>
      </c>
      <c r="H185" s="866"/>
      <c r="I185" s="867">
        <v>43951</v>
      </c>
      <c r="J185" s="861"/>
    </row>
    <row r="186" spans="1:10" s="870" customFormat="1" ht="38.25" x14ac:dyDescent="0.2">
      <c r="A186" s="868" t="s">
        <v>2603</v>
      </c>
      <c r="B186" s="861" t="s">
        <v>2975</v>
      </c>
      <c r="C186" s="862" t="s">
        <v>2612</v>
      </c>
      <c r="D186" s="862" t="s">
        <v>2669</v>
      </c>
      <c r="E186" s="863">
        <v>0</v>
      </c>
      <c r="F186" s="864">
        <v>44315</v>
      </c>
      <c r="G186" s="865" t="s">
        <v>2668</v>
      </c>
      <c r="H186" s="866"/>
      <c r="I186" s="867">
        <v>43951</v>
      </c>
      <c r="J186" s="861"/>
    </row>
    <row r="187" spans="1:10" s="870" customFormat="1" ht="38.25" x14ac:dyDescent="0.2">
      <c r="A187" s="868" t="s">
        <v>2603</v>
      </c>
      <c r="B187" s="861" t="s">
        <v>2975</v>
      </c>
      <c r="C187" s="862" t="s">
        <v>2614</v>
      </c>
      <c r="D187" s="862" t="s">
        <v>2669</v>
      </c>
      <c r="E187" s="863">
        <v>0</v>
      </c>
      <c r="F187" s="864">
        <v>44315</v>
      </c>
      <c r="G187" s="865" t="s">
        <v>2668</v>
      </c>
      <c r="H187" s="866"/>
      <c r="I187" s="867">
        <v>43951</v>
      </c>
      <c r="J187" s="861"/>
    </row>
    <row r="188" spans="1:10" s="870" customFormat="1" ht="51" x14ac:dyDescent="0.2">
      <c r="A188" s="868" t="s">
        <v>2603</v>
      </c>
      <c r="B188" s="861" t="s">
        <v>3007</v>
      </c>
      <c r="C188" s="862" t="s">
        <v>2615</v>
      </c>
      <c r="D188" s="862" t="s">
        <v>2669</v>
      </c>
      <c r="E188" s="863">
        <v>0</v>
      </c>
      <c r="F188" s="864">
        <v>44315</v>
      </c>
      <c r="G188" s="865" t="s">
        <v>2668</v>
      </c>
      <c r="H188" s="866"/>
      <c r="I188" s="867">
        <v>43951</v>
      </c>
      <c r="J188" s="861"/>
    </row>
    <row r="189" spans="1:10" s="870" customFormat="1" ht="38.25" x14ac:dyDescent="0.2">
      <c r="A189" s="868" t="s">
        <v>2603</v>
      </c>
      <c r="B189" s="861" t="s">
        <v>2990</v>
      </c>
      <c r="C189" s="862" t="s">
        <v>1821</v>
      </c>
      <c r="D189" s="862" t="s">
        <v>2669</v>
      </c>
      <c r="E189" s="863">
        <v>0</v>
      </c>
      <c r="F189" s="864">
        <v>44315</v>
      </c>
      <c r="G189" s="865" t="s">
        <v>2668</v>
      </c>
      <c r="H189" s="866"/>
      <c r="I189" s="867">
        <v>43951</v>
      </c>
      <c r="J189" s="861"/>
    </row>
    <row r="190" spans="1:10" s="870" customFormat="1" ht="38.25" x14ac:dyDescent="0.2">
      <c r="A190" s="868" t="s">
        <v>2603</v>
      </c>
      <c r="B190" s="861" t="s">
        <v>2800</v>
      </c>
      <c r="C190" s="862" t="s">
        <v>2616</v>
      </c>
      <c r="D190" s="862" t="s">
        <v>2669</v>
      </c>
      <c r="E190" s="863">
        <v>0</v>
      </c>
      <c r="F190" s="864">
        <v>44315</v>
      </c>
      <c r="G190" s="865" t="s">
        <v>2668</v>
      </c>
      <c r="H190" s="866"/>
      <c r="I190" s="867">
        <v>43951</v>
      </c>
      <c r="J190" s="861"/>
    </row>
    <row r="191" spans="1:10" s="870" customFormat="1" ht="38.25" x14ac:dyDescent="0.2">
      <c r="A191" s="868" t="s">
        <v>2603</v>
      </c>
      <c r="B191" s="861" t="s">
        <v>2990</v>
      </c>
      <c r="C191" s="862" t="s">
        <v>2617</v>
      </c>
      <c r="D191" s="862" t="s">
        <v>2669</v>
      </c>
      <c r="E191" s="863">
        <v>0</v>
      </c>
      <c r="F191" s="864">
        <v>44315</v>
      </c>
      <c r="G191" s="865" t="s">
        <v>2668</v>
      </c>
      <c r="H191" s="866"/>
      <c r="I191" s="867">
        <v>43951</v>
      </c>
      <c r="J191" s="861"/>
    </row>
    <row r="192" spans="1:10" s="870" customFormat="1" ht="38.25" x14ac:dyDescent="0.2">
      <c r="A192" s="868" t="s">
        <v>2603</v>
      </c>
      <c r="B192" s="861" t="s">
        <v>2800</v>
      </c>
      <c r="C192" s="862" t="s">
        <v>2618</v>
      </c>
      <c r="D192" s="862" t="s">
        <v>2669</v>
      </c>
      <c r="E192" s="863">
        <v>0</v>
      </c>
      <c r="F192" s="864">
        <v>44315</v>
      </c>
      <c r="G192" s="865" t="s">
        <v>2668</v>
      </c>
      <c r="H192" s="866"/>
      <c r="I192" s="867">
        <v>43951</v>
      </c>
      <c r="J192" s="861"/>
    </row>
    <row r="193" spans="1:10" s="870" customFormat="1" ht="38.25" x14ac:dyDescent="0.2">
      <c r="A193" s="868" t="s">
        <v>2603</v>
      </c>
      <c r="B193" s="861" t="s">
        <v>2975</v>
      </c>
      <c r="C193" s="862" t="s">
        <v>2619</v>
      </c>
      <c r="D193" s="862" t="s">
        <v>2669</v>
      </c>
      <c r="E193" s="863">
        <v>0</v>
      </c>
      <c r="F193" s="864">
        <v>44315</v>
      </c>
      <c r="G193" s="865" t="s">
        <v>2668</v>
      </c>
      <c r="H193" s="866"/>
      <c r="I193" s="867">
        <v>43951</v>
      </c>
      <c r="J193" s="861"/>
    </row>
    <row r="194" spans="1:10" s="870" customFormat="1" ht="38.25" x14ac:dyDescent="0.2">
      <c r="A194" s="868" t="s">
        <v>2603</v>
      </c>
      <c r="B194" s="861" t="s">
        <v>2987</v>
      </c>
      <c r="C194" s="862" t="s">
        <v>2620</v>
      </c>
      <c r="D194" s="862" t="s">
        <v>2669</v>
      </c>
      <c r="E194" s="863">
        <v>0</v>
      </c>
      <c r="F194" s="864">
        <v>44315</v>
      </c>
      <c r="G194" s="865" t="s">
        <v>2668</v>
      </c>
      <c r="H194" s="866"/>
      <c r="I194" s="867">
        <v>43951</v>
      </c>
      <c r="J194" s="861"/>
    </row>
    <row r="195" spans="1:10" s="870" customFormat="1" ht="48" customHeight="1" x14ac:dyDescent="0.2">
      <c r="A195" s="868" t="s">
        <v>2603</v>
      </c>
      <c r="B195" s="861" t="s">
        <v>2987</v>
      </c>
      <c r="C195" s="862" t="s">
        <v>2621</v>
      </c>
      <c r="D195" s="862" t="s">
        <v>2669</v>
      </c>
      <c r="E195" s="863">
        <v>0</v>
      </c>
      <c r="F195" s="864">
        <v>44315</v>
      </c>
      <c r="G195" s="865" t="s">
        <v>2668</v>
      </c>
      <c r="H195" s="866"/>
      <c r="I195" s="867">
        <v>43951</v>
      </c>
      <c r="J195" s="861"/>
    </row>
    <row r="196" spans="1:10" s="870" customFormat="1" ht="38.25" x14ac:dyDescent="0.2">
      <c r="A196" s="868" t="s">
        <v>2603</v>
      </c>
      <c r="B196" s="861" t="s">
        <v>2987</v>
      </c>
      <c r="C196" s="862" t="s">
        <v>2622</v>
      </c>
      <c r="D196" s="862" t="s">
        <v>2669</v>
      </c>
      <c r="E196" s="863">
        <v>0</v>
      </c>
      <c r="F196" s="864">
        <v>44315</v>
      </c>
      <c r="G196" s="865" t="s">
        <v>2668</v>
      </c>
      <c r="H196" s="866"/>
      <c r="I196" s="867">
        <v>43951</v>
      </c>
      <c r="J196" s="861"/>
    </row>
    <row r="197" spans="1:10" s="870" customFormat="1" ht="43.5" customHeight="1" x14ac:dyDescent="0.2">
      <c r="A197" s="868" t="s">
        <v>2603</v>
      </c>
      <c r="B197" s="861" t="s">
        <v>2987</v>
      </c>
      <c r="C197" s="862" t="s">
        <v>2623</v>
      </c>
      <c r="D197" s="862" t="s">
        <v>2669</v>
      </c>
      <c r="E197" s="863">
        <v>0</v>
      </c>
      <c r="F197" s="864">
        <v>44315</v>
      </c>
      <c r="G197" s="865" t="s">
        <v>2668</v>
      </c>
      <c r="H197" s="866"/>
      <c r="I197" s="867">
        <v>43951</v>
      </c>
      <c r="J197" s="861"/>
    </row>
    <row r="198" spans="1:10" s="870" customFormat="1" ht="38.25" x14ac:dyDescent="0.2">
      <c r="A198" s="868" t="s">
        <v>2603</v>
      </c>
      <c r="B198" s="861" t="s">
        <v>2989</v>
      </c>
      <c r="C198" s="862" t="s">
        <v>2624</v>
      </c>
      <c r="D198" s="862" t="s">
        <v>2669</v>
      </c>
      <c r="E198" s="863">
        <v>0</v>
      </c>
      <c r="F198" s="864">
        <v>44315</v>
      </c>
      <c r="G198" s="865" t="s">
        <v>2668</v>
      </c>
      <c r="H198" s="866"/>
      <c r="I198" s="867">
        <v>43951</v>
      </c>
      <c r="J198" s="861"/>
    </row>
    <row r="199" spans="1:10" s="870" customFormat="1" ht="38.25" x14ac:dyDescent="0.2">
      <c r="A199" s="868" t="s">
        <v>2603</v>
      </c>
      <c r="B199" s="861" t="s">
        <v>2987</v>
      </c>
      <c r="C199" s="862" t="s">
        <v>2625</v>
      </c>
      <c r="D199" s="862" t="s">
        <v>2669</v>
      </c>
      <c r="E199" s="863">
        <v>0</v>
      </c>
      <c r="F199" s="864">
        <v>44315</v>
      </c>
      <c r="G199" s="865" t="s">
        <v>2668</v>
      </c>
      <c r="H199" s="866"/>
      <c r="I199" s="867">
        <v>43951</v>
      </c>
      <c r="J199" s="861"/>
    </row>
    <row r="200" spans="1:10" s="870" customFormat="1" ht="38.25" x14ac:dyDescent="0.2">
      <c r="A200" s="868" t="s">
        <v>2603</v>
      </c>
      <c r="B200" s="861" t="s">
        <v>2987</v>
      </c>
      <c r="C200" s="862" t="s">
        <v>2626</v>
      </c>
      <c r="D200" s="862" t="s">
        <v>2669</v>
      </c>
      <c r="E200" s="863">
        <v>0</v>
      </c>
      <c r="F200" s="864">
        <v>44315</v>
      </c>
      <c r="G200" s="865" t="s">
        <v>2668</v>
      </c>
      <c r="H200" s="866"/>
      <c r="I200" s="867">
        <v>43951</v>
      </c>
      <c r="J200" s="861"/>
    </row>
    <row r="201" spans="1:10" s="870" customFormat="1" ht="38.25" x14ac:dyDescent="0.2">
      <c r="A201" s="868" t="s">
        <v>2603</v>
      </c>
      <c r="B201" s="861" t="s">
        <v>2989</v>
      </c>
      <c r="C201" s="862" t="s">
        <v>2627</v>
      </c>
      <c r="D201" s="862" t="s">
        <v>2669</v>
      </c>
      <c r="E201" s="863">
        <v>0</v>
      </c>
      <c r="F201" s="864">
        <v>44315</v>
      </c>
      <c r="G201" s="865" t="s">
        <v>2668</v>
      </c>
      <c r="H201" s="866"/>
      <c r="I201" s="867">
        <v>43951</v>
      </c>
      <c r="J201" s="861"/>
    </row>
    <row r="202" spans="1:10" s="870" customFormat="1" ht="38.25" x14ac:dyDescent="0.2">
      <c r="A202" s="868" t="s">
        <v>2603</v>
      </c>
      <c r="B202" s="861" t="s">
        <v>3008</v>
      </c>
      <c r="C202" s="862" t="s">
        <v>2628</v>
      </c>
      <c r="D202" s="862" t="s">
        <v>2669</v>
      </c>
      <c r="E202" s="863">
        <v>0</v>
      </c>
      <c r="F202" s="864">
        <v>44315</v>
      </c>
      <c r="G202" s="865" t="s">
        <v>2668</v>
      </c>
      <c r="H202" s="866"/>
      <c r="I202" s="867">
        <v>43951</v>
      </c>
      <c r="J202" s="861"/>
    </row>
    <row r="203" spans="1:10" s="870" customFormat="1" ht="38.25" x14ac:dyDescent="0.2">
      <c r="A203" s="868" t="s">
        <v>2603</v>
      </c>
      <c r="B203" s="861" t="s">
        <v>3009</v>
      </c>
      <c r="C203" s="862" t="s">
        <v>2163</v>
      </c>
      <c r="D203" s="862" t="s">
        <v>2669</v>
      </c>
      <c r="E203" s="863">
        <v>0</v>
      </c>
      <c r="F203" s="864">
        <v>44315</v>
      </c>
      <c r="G203" s="865" t="s">
        <v>2668</v>
      </c>
      <c r="H203" s="866"/>
      <c r="I203" s="867">
        <v>43951</v>
      </c>
      <c r="J203" s="861"/>
    </row>
    <row r="204" spans="1:10" s="870" customFormat="1" ht="42" customHeight="1" x14ac:dyDescent="0.2">
      <c r="A204" s="868" t="s">
        <v>2603</v>
      </c>
      <c r="B204" s="861" t="s">
        <v>2987</v>
      </c>
      <c r="C204" s="862" t="s">
        <v>2629</v>
      </c>
      <c r="D204" s="862" t="s">
        <v>2669</v>
      </c>
      <c r="E204" s="863">
        <v>0</v>
      </c>
      <c r="F204" s="864">
        <v>44315</v>
      </c>
      <c r="G204" s="865" t="s">
        <v>2668</v>
      </c>
      <c r="H204" s="866"/>
      <c r="I204" s="867">
        <v>43951</v>
      </c>
      <c r="J204" s="861"/>
    </row>
    <row r="205" spans="1:10" s="870" customFormat="1" ht="38.25" x14ac:dyDescent="0.2">
      <c r="A205" s="868" t="s">
        <v>2603</v>
      </c>
      <c r="B205" s="861" t="s">
        <v>2978</v>
      </c>
      <c r="C205" s="862" t="s">
        <v>2630</v>
      </c>
      <c r="D205" s="862" t="s">
        <v>2669</v>
      </c>
      <c r="E205" s="863">
        <v>0</v>
      </c>
      <c r="F205" s="864">
        <v>44315</v>
      </c>
      <c r="G205" s="865" t="s">
        <v>2668</v>
      </c>
      <c r="H205" s="866"/>
      <c r="I205" s="867">
        <v>43951</v>
      </c>
      <c r="J205" s="861"/>
    </row>
    <row r="206" spans="1:10" s="870" customFormat="1" ht="38.25" x14ac:dyDescent="0.2">
      <c r="A206" s="868" t="s">
        <v>2603</v>
      </c>
      <c r="B206" s="861" t="s">
        <v>2990</v>
      </c>
      <c r="C206" s="862" t="s">
        <v>2631</v>
      </c>
      <c r="D206" s="862" t="s">
        <v>2669</v>
      </c>
      <c r="E206" s="863">
        <v>0</v>
      </c>
      <c r="F206" s="864">
        <v>44315</v>
      </c>
      <c r="G206" s="865" t="s">
        <v>2668</v>
      </c>
      <c r="H206" s="866"/>
      <c r="I206" s="867">
        <v>43951</v>
      </c>
      <c r="J206" s="861"/>
    </row>
    <row r="207" spans="1:10" s="870" customFormat="1" ht="38.25" x14ac:dyDescent="0.2">
      <c r="A207" s="868" t="s">
        <v>2603</v>
      </c>
      <c r="B207" s="861" t="s">
        <v>3010</v>
      </c>
      <c r="C207" s="862" t="s">
        <v>2632</v>
      </c>
      <c r="D207" s="862" t="s">
        <v>2669</v>
      </c>
      <c r="E207" s="863">
        <v>0</v>
      </c>
      <c r="F207" s="864">
        <v>44315</v>
      </c>
      <c r="G207" s="865" t="s">
        <v>2668</v>
      </c>
      <c r="H207" s="866"/>
      <c r="I207" s="867">
        <v>43951</v>
      </c>
      <c r="J207" s="861"/>
    </row>
    <row r="208" spans="1:10" s="870" customFormat="1" ht="25.5" x14ac:dyDescent="0.2">
      <c r="A208" s="868" t="s">
        <v>2603</v>
      </c>
      <c r="B208" s="861"/>
      <c r="C208" s="862" t="s">
        <v>2633</v>
      </c>
      <c r="D208" s="862" t="s">
        <v>2669</v>
      </c>
      <c r="E208" s="863">
        <v>0</v>
      </c>
      <c r="F208" s="864">
        <v>44315</v>
      </c>
      <c r="G208" s="865" t="s">
        <v>2668</v>
      </c>
      <c r="H208" s="866"/>
      <c r="I208" s="867">
        <v>43951</v>
      </c>
      <c r="J208" s="861"/>
    </row>
    <row r="209" spans="1:10" s="870" customFormat="1" ht="51" x14ac:dyDescent="0.2">
      <c r="A209" s="868" t="s">
        <v>2603</v>
      </c>
      <c r="B209" s="861" t="s">
        <v>2979</v>
      </c>
      <c r="C209" s="862" t="s">
        <v>2178</v>
      </c>
      <c r="D209" s="862" t="s">
        <v>2669</v>
      </c>
      <c r="E209" s="863">
        <v>0</v>
      </c>
      <c r="F209" s="864">
        <v>44315</v>
      </c>
      <c r="G209" s="865" t="s">
        <v>2668</v>
      </c>
      <c r="H209" s="866"/>
      <c r="I209" s="867">
        <v>43951</v>
      </c>
      <c r="J209" s="861"/>
    </row>
    <row r="210" spans="1:10" s="870" customFormat="1" ht="38.25" x14ac:dyDescent="0.2">
      <c r="A210" s="868" t="s">
        <v>2603</v>
      </c>
      <c r="B210" s="861" t="s">
        <v>3011</v>
      </c>
      <c r="C210" s="862" t="s">
        <v>2634</v>
      </c>
      <c r="D210" s="862" t="s">
        <v>2669</v>
      </c>
      <c r="E210" s="863">
        <v>0</v>
      </c>
      <c r="F210" s="864">
        <v>44315</v>
      </c>
      <c r="G210" s="865" t="s">
        <v>2668</v>
      </c>
      <c r="H210" s="866"/>
      <c r="I210" s="867">
        <v>43951</v>
      </c>
      <c r="J210" s="861"/>
    </row>
    <row r="211" spans="1:10" s="870" customFormat="1" ht="25.5" x14ac:dyDescent="0.2">
      <c r="A211" s="868" t="s">
        <v>2603</v>
      </c>
      <c r="B211" s="861"/>
      <c r="C211" s="862" t="s">
        <v>2635</v>
      </c>
      <c r="D211" s="862" t="s">
        <v>2669</v>
      </c>
      <c r="E211" s="863">
        <v>0</v>
      </c>
      <c r="F211" s="864">
        <v>44315</v>
      </c>
      <c r="G211" s="865" t="s">
        <v>2668</v>
      </c>
      <c r="H211" s="866"/>
      <c r="I211" s="867">
        <v>43951</v>
      </c>
      <c r="J211" s="861"/>
    </row>
    <row r="212" spans="1:10" s="870" customFormat="1" ht="38.25" x14ac:dyDescent="0.2">
      <c r="A212" s="868" t="s">
        <v>2603</v>
      </c>
      <c r="B212" s="861" t="s">
        <v>2800</v>
      </c>
      <c r="C212" s="862" t="s">
        <v>2636</v>
      </c>
      <c r="D212" s="862" t="s">
        <v>2669</v>
      </c>
      <c r="E212" s="863">
        <v>0</v>
      </c>
      <c r="F212" s="864">
        <v>44315</v>
      </c>
      <c r="G212" s="865" t="s">
        <v>2668</v>
      </c>
      <c r="H212" s="866"/>
      <c r="I212" s="867">
        <v>43951</v>
      </c>
      <c r="J212" s="861"/>
    </row>
    <row r="213" spans="1:10" s="870" customFormat="1" ht="38.25" x14ac:dyDescent="0.2">
      <c r="A213" s="868" t="s">
        <v>2603</v>
      </c>
      <c r="B213" s="861" t="s">
        <v>3003</v>
      </c>
      <c r="C213" s="862" t="s">
        <v>2637</v>
      </c>
      <c r="D213" s="862" t="s">
        <v>2669</v>
      </c>
      <c r="E213" s="863">
        <v>0</v>
      </c>
      <c r="F213" s="864">
        <v>44315</v>
      </c>
      <c r="G213" s="865" t="s">
        <v>2668</v>
      </c>
      <c r="H213" s="866"/>
      <c r="I213" s="867">
        <v>43951</v>
      </c>
      <c r="J213" s="861"/>
    </row>
    <row r="214" spans="1:10" s="870" customFormat="1" ht="38.25" x14ac:dyDescent="0.2">
      <c r="A214" s="868" t="s">
        <v>2603</v>
      </c>
      <c r="B214" s="861" t="s">
        <v>2977</v>
      </c>
      <c r="C214" s="862" t="s">
        <v>2638</v>
      </c>
      <c r="D214" s="862" t="s">
        <v>2669</v>
      </c>
      <c r="E214" s="863">
        <v>0</v>
      </c>
      <c r="F214" s="864">
        <v>44315</v>
      </c>
      <c r="G214" s="865" t="s">
        <v>2668</v>
      </c>
      <c r="H214" s="866"/>
      <c r="I214" s="867">
        <v>43951</v>
      </c>
      <c r="J214" s="861"/>
    </row>
    <row r="215" spans="1:10" s="870" customFormat="1" ht="51" x14ac:dyDescent="0.2">
      <c r="A215" s="868" t="s">
        <v>2603</v>
      </c>
      <c r="B215" s="861" t="s">
        <v>3012</v>
      </c>
      <c r="C215" s="862" t="s">
        <v>1852</v>
      </c>
      <c r="D215" s="862" t="s">
        <v>2669</v>
      </c>
      <c r="E215" s="863">
        <v>0</v>
      </c>
      <c r="F215" s="864">
        <v>44315</v>
      </c>
      <c r="G215" s="865" t="s">
        <v>2668</v>
      </c>
      <c r="H215" s="866"/>
      <c r="I215" s="867">
        <v>43951</v>
      </c>
      <c r="J215" s="861"/>
    </row>
    <row r="216" spans="1:10" s="870" customFormat="1" ht="38.25" x14ac:dyDescent="0.2">
      <c r="A216" s="868" t="s">
        <v>2603</v>
      </c>
      <c r="B216" s="861" t="s">
        <v>2976</v>
      </c>
      <c r="C216" s="862" t="s">
        <v>2639</v>
      </c>
      <c r="D216" s="862" t="s">
        <v>2669</v>
      </c>
      <c r="E216" s="863">
        <v>0</v>
      </c>
      <c r="F216" s="864">
        <v>44315</v>
      </c>
      <c r="G216" s="865" t="s">
        <v>2668</v>
      </c>
      <c r="H216" s="866"/>
      <c r="I216" s="867">
        <v>43951</v>
      </c>
      <c r="J216" s="861"/>
    </row>
    <row r="217" spans="1:10" s="870" customFormat="1" ht="38.25" x14ac:dyDescent="0.2">
      <c r="A217" s="868" t="s">
        <v>2603</v>
      </c>
      <c r="B217" s="861" t="s">
        <v>2989</v>
      </c>
      <c r="C217" s="862" t="s">
        <v>2640</v>
      </c>
      <c r="D217" s="862" t="s">
        <v>2669</v>
      </c>
      <c r="E217" s="863">
        <v>0</v>
      </c>
      <c r="F217" s="864">
        <v>44315</v>
      </c>
      <c r="G217" s="865" t="s">
        <v>2668</v>
      </c>
      <c r="H217" s="866"/>
      <c r="I217" s="867">
        <v>43951</v>
      </c>
      <c r="J217" s="861"/>
    </row>
    <row r="218" spans="1:10" s="870" customFormat="1" ht="38.25" x14ac:dyDescent="0.2">
      <c r="A218" s="868" t="s">
        <v>2603</v>
      </c>
      <c r="B218" s="861" t="s">
        <v>2990</v>
      </c>
      <c r="C218" s="862" t="s">
        <v>2641</v>
      </c>
      <c r="D218" s="862" t="s">
        <v>2669</v>
      </c>
      <c r="E218" s="863">
        <v>0</v>
      </c>
      <c r="F218" s="864">
        <v>44315</v>
      </c>
      <c r="G218" s="865" t="s">
        <v>2668</v>
      </c>
      <c r="H218" s="866"/>
      <c r="I218" s="867">
        <v>43951</v>
      </c>
      <c r="J218" s="861"/>
    </row>
    <row r="219" spans="1:10" s="870" customFormat="1" ht="50.25" customHeight="1" x14ac:dyDescent="0.2">
      <c r="A219" s="868" t="s">
        <v>2603</v>
      </c>
      <c r="B219" s="861" t="s">
        <v>2987</v>
      </c>
      <c r="C219" s="862" t="s">
        <v>2642</v>
      </c>
      <c r="D219" s="862" t="s">
        <v>2669</v>
      </c>
      <c r="E219" s="863">
        <v>0</v>
      </c>
      <c r="F219" s="864">
        <v>44315</v>
      </c>
      <c r="G219" s="865" t="s">
        <v>2668</v>
      </c>
      <c r="H219" s="866"/>
      <c r="I219" s="867">
        <v>43951</v>
      </c>
      <c r="J219" s="861"/>
    </row>
    <row r="220" spans="1:10" s="870" customFormat="1" ht="48.75" customHeight="1" x14ac:dyDescent="0.2">
      <c r="A220" s="868" t="s">
        <v>2603</v>
      </c>
      <c r="B220" s="861" t="s">
        <v>2987</v>
      </c>
      <c r="C220" s="862" t="s">
        <v>2643</v>
      </c>
      <c r="D220" s="862" t="s">
        <v>2669</v>
      </c>
      <c r="E220" s="863">
        <v>0</v>
      </c>
      <c r="F220" s="864">
        <v>44315</v>
      </c>
      <c r="G220" s="865" t="s">
        <v>2668</v>
      </c>
      <c r="H220" s="866"/>
      <c r="I220" s="867">
        <v>43951</v>
      </c>
      <c r="J220" s="861"/>
    </row>
    <row r="221" spans="1:10" s="870" customFormat="1" ht="54" customHeight="1" x14ac:dyDescent="0.2">
      <c r="A221" s="868" t="s">
        <v>2603</v>
      </c>
      <c r="B221" s="861" t="s">
        <v>2987</v>
      </c>
      <c r="C221" s="862" t="s">
        <v>2644</v>
      </c>
      <c r="D221" s="862" t="s">
        <v>2669</v>
      </c>
      <c r="E221" s="863">
        <v>0</v>
      </c>
      <c r="F221" s="864">
        <v>44315</v>
      </c>
      <c r="G221" s="865" t="s">
        <v>2668</v>
      </c>
      <c r="H221" s="866"/>
      <c r="I221" s="867">
        <v>43951</v>
      </c>
      <c r="J221" s="861"/>
    </row>
    <row r="222" spans="1:10" s="870" customFormat="1" ht="38.25" x14ac:dyDescent="0.2">
      <c r="A222" s="868" t="s">
        <v>2603</v>
      </c>
      <c r="B222" s="861" t="s">
        <v>2800</v>
      </c>
      <c r="C222" s="862" t="s">
        <v>2645</v>
      </c>
      <c r="D222" s="862" t="s">
        <v>2669</v>
      </c>
      <c r="E222" s="863">
        <v>0</v>
      </c>
      <c r="F222" s="864">
        <v>44315</v>
      </c>
      <c r="G222" s="865" t="s">
        <v>2668</v>
      </c>
      <c r="H222" s="866"/>
      <c r="I222" s="867">
        <v>43951</v>
      </c>
      <c r="J222" s="861"/>
    </row>
    <row r="223" spans="1:10" s="870" customFormat="1" ht="38.25" x14ac:dyDescent="0.2">
      <c r="A223" s="868" t="s">
        <v>2603</v>
      </c>
      <c r="B223" s="861" t="s">
        <v>2976</v>
      </c>
      <c r="C223" s="862" t="s">
        <v>2646</v>
      </c>
      <c r="D223" s="862" t="s">
        <v>2669</v>
      </c>
      <c r="E223" s="863">
        <v>0</v>
      </c>
      <c r="F223" s="864">
        <v>44315</v>
      </c>
      <c r="G223" s="865" t="s">
        <v>2668</v>
      </c>
      <c r="H223" s="866"/>
      <c r="I223" s="867">
        <v>43951</v>
      </c>
      <c r="J223" s="861"/>
    </row>
    <row r="224" spans="1:10" s="870" customFormat="1" ht="38.25" x14ac:dyDescent="0.2">
      <c r="A224" s="868" t="s">
        <v>2603</v>
      </c>
      <c r="B224" s="861" t="s">
        <v>3013</v>
      </c>
      <c r="C224" s="862" t="s">
        <v>2647</v>
      </c>
      <c r="D224" s="862" t="s">
        <v>2669</v>
      </c>
      <c r="E224" s="863">
        <v>0</v>
      </c>
      <c r="F224" s="864">
        <v>44315</v>
      </c>
      <c r="G224" s="865" t="s">
        <v>2668</v>
      </c>
      <c r="H224" s="866"/>
      <c r="I224" s="867">
        <v>43951</v>
      </c>
      <c r="J224" s="861"/>
    </row>
    <row r="225" spans="1:10" s="870" customFormat="1" ht="38.25" x14ac:dyDescent="0.2">
      <c r="A225" s="868" t="s">
        <v>2603</v>
      </c>
      <c r="B225" s="861" t="s">
        <v>2990</v>
      </c>
      <c r="C225" s="862" t="s">
        <v>2648</v>
      </c>
      <c r="D225" s="862" t="s">
        <v>2669</v>
      </c>
      <c r="E225" s="863">
        <v>0</v>
      </c>
      <c r="F225" s="864">
        <v>44315</v>
      </c>
      <c r="G225" s="865" t="s">
        <v>2668</v>
      </c>
      <c r="H225" s="866"/>
      <c r="I225" s="867">
        <v>43951</v>
      </c>
      <c r="J225" s="861"/>
    </row>
    <row r="226" spans="1:10" s="870" customFormat="1" ht="38.25" x14ac:dyDescent="0.2">
      <c r="A226" s="868" t="s">
        <v>2603</v>
      </c>
      <c r="B226" s="861" t="s">
        <v>3014</v>
      </c>
      <c r="C226" s="862" t="s">
        <v>2649</v>
      </c>
      <c r="D226" s="862" t="s">
        <v>2669</v>
      </c>
      <c r="E226" s="863">
        <v>0</v>
      </c>
      <c r="F226" s="864">
        <v>44315</v>
      </c>
      <c r="G226" s="865" t="s">
        <v>2668</v>
      </c>
      <c r="H226" s="866"/>
      <c r="I226" s="867">
        <v>43951</v>
      </c>
      <c r="J226" s="861"/>
    </row>
    <row r="227" spans="1:10" s="870" customFormat="1" ht="38.25" x14ac:dyDescent="0.2">
      <c r="A227" s="868" t="s">
        <v>2603</v>
      </c>
      <c r="B227" s="861" t="s">
        <v>2980</v>
      </c>
      <c r="C227" s="862" t="s">
        <v>2650</v>
      </c>
      <c r="D227" s="862" t="s">
        <v>2669</v>
      </c>
      <c r="E227" s="863">
        <v>0</v>
      </c>
      <c r="F227" s="864">
        <v>44315</v>
      </c>
      <c r="G227" s="865" t="s">
        <v>2668</v>
      </c>
      <c r="H227" s="866"/>
      <c r="I227" s="867">
        <v>43951</v>
      </c>
      <c r="J227" s="861"/>
    </row>
    <row r="228" spans="1:10" s="870" customFormat="1" ht="38.25" x14ac:dyDescent="0.2">
      <c r="A228" s="868" t="s">
        <v>2603</v>
      </c>
      <c r="B228" s="861" t="s">
        <v>2987</v>
      </c>
      <c r="C228" s="862" t="s">
        <v>2651</v>
      </c>
      <c r="D228" s="862" t="s">
        <v>2669</v>
      </c>
      <c r="E228" s="863">
        <v>0</v>
      </c>
      <c r="F228" s="864">
        <v>44315</v>
      </c>
      <c r="G228" s="865" t="s">
        <v>2668</v>
      </c>
      <c r="H228" s="866"/>
      <c r="I228" s="867">
        <v>43951</v>
      </c>
      <c r="J228" s="861"/>
    </row>
    <row r="229" spans="1:10" s="870" customFormat="1" ht="38.25" x14ac:dyDescent="0.2">
      <c r="A229" s="868" t="s">
        <v>2603</v>
      </c>
      <c r="B229" s="861" t="s">
        <v>2990</v>
      </c>
      <c r="C229" s="862" t="s">
        <v>2652</v>
      </c>
      <c r="D229" s="862" t="s">
        <v>2669</v>
      </c>
      <c r="E229" s="863">
        <v>0</v>
      </c>
      <c r="F229" s="864">
        <v>44315</v>
      </c>
      <c r="G229" s="865" t="s">
        <v>2668</v>
      </c>
      <c r="H229" s="866"/>
      <c r="I229" s="867">
        <v>43951</v>
      </c>
      <c r="J229" s="861"/>
    </row>
    <row r="230" spans="1:10" s="870" customFormat="1" ht="38.25" x14ac:dyDescent="0.2">
      <c r="A230" s="868" t="s">
        <v>2603</v>
      </c>
      <c r="B230" s="861" t="s">
        <v>2800</v>
      </c>
      <c r="C230" s="862" t="s">
        <v>2653</v>
      </c>
      <c r="D230" s="862" t="s">
        <v>2669</v>
      </c>
      <c r="E230" s="863">
        <v>0</v>
      </c>
      <c r="F230" s="864">
        <v>44315</v>
      </c>
      <c r="G230" s="865" t="s">
        <v>2668</v>
      </c>
      <c r="H230" s="866"/>
      <c r="I230" s="867">
        <v>43951</v>
      </c>
      <c r="J230" s="861"/>
    </row>
    <row r="231" spans="1:10" s="870" customFormat="1" ht="38.25" x14ac:dyDescent="0.2">
      <c r="A231" s="868" t="s">
        <v>2603</v>
      </c>
      <c r="B231" s="861" t="s">
        <v>3015</v>
      </c>
      <c r="C231" s="862" t="s">
        <v>2654</v>
      </c>
      <c r="D231" s="862" t="s">
        <v>2669</v>
      </c>
      <c r="E231" s="863">
        <v>0</v>
      </c>
      <c r="F231" s="864">
        <v>44315</v>
      </c>
      <c r="G231" s="865" t="s">
        <v>2668</v>
      </c>
      <c r="H231" s="866"/>
      <c r="I231" s="867">
        <v>43951</v>
      </c>
      <c r="J231" s="861"/>
    </row>
    <row r="232" spans="1:10" s="870" customFormat="1" ht="38.25" x14ac:dyDescent="0.2">
      <c r="A232" s="868" t="s">
        <v>2603</v>
      </c>
      <c r="B232" s="861" t="s">
        <v>2800</v>
      </c>
      <c r="C232" s="862" t="s">
        <v>2655</v>
      </c>
      <c r="D232" s="862" t="s">
        <v>2669</v>
      </c>
      <c r="E232" s="863">
        <v>0</v>
      </c>
      <c r="F232" s="864">
        <v>44315</v>
      </c>
      <c r="G232" s="865" t="s">
        <v>2668</v>
      </c>
      <c r="H232" s="866"/>
      <c r="I232" s="867">
        <v>43951</v>
      </c>
      <c r="J232" s="861"/>
    </row>
    <row r="233" spans="1:10" s="870" customFormat="1" ht="38.25" x14ac:dyDescent="0.2">
      <c r="A233" s="868" t="s">
        <v>2603</v>
      </c>
      <c r="B233" s="861" t="s">
        <v>2800</v>
      </c>
      <c r="C233" s="862" t="s">
        <v>2656</v>
      </c>
      <c r="D233" s="862" t="s">
        <v>2669</v>
      </c>
      <c r="E233" s="863">
        <v>0</v>
      </c>
      <c r="F233" s="864">
        <v>44315</v>
      </c>
      <c r="G233" s="865" t="s">
        <v>2668</v>
      </c>
      <c r="H233" s="866"/>
      <c r="I233" s="867">
        <v>43951</v>
      </c>
      <c r="J233" s="861"/>
    </row>
    <row r="234" spans="1:10" s="870" customFormat="1" ht="38.25" x14ac:dyDescent="0.2">
      <c r="A234" s="868" t="s">
        <v>2603</v>
      </c>
      <c r="B234" s="861" t="s">
        <v>3016</v>
      </c>
      <c r="C234" s="862" t="s">
        <v>2657</v>
      </c>
      <c r="D234" s="862" t="s">
        <v>2669</v>
      </c>
      <c r="E234" s="863">
        <v>0</v>
      </c>
      <c r="F234" s="864">
        <v>44315</v>
      </c>
      <c r="G234" s="865" t="s">
        <v>2668</v>
      </c>
      <c r="H234" s="866"/>
      <c r="I234" s="867">
        <v>43951</v>
      </c>
      <c r="J234" s="861"/>
    </row>
    <row r="235" spans="1:10" s="870" customFormat="1" ht="38.25" x14ac:dyDescent="0.2">
      <c r="A235" s="868" t="s">
        <v>2603</v>
      </c>
      <c r="B235" s="861" t="s">
        <v>2987</v>
      </c>
      <c r="C235" s="862" t="s">
        <v>2658</v>
      </c>
      <c r="D235" s="862" t="s">
        <v>2669</v>
      </c>
      <c r="E235" s="863">
        <v>0</v>
      </c>
      <c r="F235" s="864">
        <v>44315</v>
      </c>
      <c r="G235" s="865" t="s">
        <v>2668</v>
      </c>
      <c r="H235" s="866"/>
      <c r="I235" s="867">
        <v>43951</v>
      </c>
      <c r="J235" s="861"/>
    </row>
    <row r="236" spans="1:10" s="870" customFormat="1" ht="38.25" x14ac:dyDescent="0.2">
      <c r="A236" s="868" t="s">
        <v>2603</v>
      </c>
      <c r="B236" s="861" t="s">
        <v>2987</v>
      </c>
      <c r="C236" s="862" t="s">
        <v>2659</v>
      </c>
      <c r="D236" s="862" t="s">
        <v>2669</v>
      </c>
      <c r="E236" s="863">
        <v>0</v>
      </c>
      <c r="F236" s="864">
        <v>44315</v>
      </c>
      <c r="G236" s="865" t="s">
        <v>2668</v>
      </c>
      <c r="H236" s="866"/>
      <c r="I236" s="867">
        <v>43951</v>
      </c>
      <c r="J236" s="861"/>
    </row>
    <row r="237" spans="1:10" s="870" customFormat="1" ht="38.25" x14ac:dyDescent="0.2">
      <c r="A237" s="868" t="s">
        <v>2603</v>
      </c>
      <c r="B237" s="861" t="s">
        <v>2987</v>
      </c>
      <c r="C237" s="862" t="s">
        <v>2660</v>
      </c>
      <c r="D237" s="862" t="s">
        <v>2669</v>
      </c>
      <c r="E237" s="863">
        <v>0</v>
      </c>
      <c r="F237" s="864">
        <v>44315</v>
      </c>
      <c r="G237" s="865" t="s">
        <v>2668</v>
      </c>
      <c r="H237" s="866"/>
      <c r="I237" s="867">
        <v>43951</v>
      </c>
      <c r="J237" s="861"/>
    </row>
    <row r="238" spans="1:10" s="870" customFormat="1" ht="38.25" x14ac:dyDescent="0.2">
      <c r="A238" s="868" t="s">
        <v>2603</v>
      </c>
      <c r="B238" s="861" t="s">
        <v>2800</v>
      </c>
      <c r="C238" s="862" t="s">
        <v>2661</v>
      </c>
      <c r="D238" s="862" t="s">
        <v>2669</v>
      </c>
      <c r="E238" s="863">
        <v>0</v>
      </c>
      <c r="F238" s="864">
        <v>44315</v>
      </c>
      <c r="G238" s="865" t="s">
        <v>2668</v>
      </c>
      <c r="H238" s="866"/>
      <c r="I238" s="867">
        <v>43951</v>
      </c>
      <c r="J238" s="861"/>
    </row>
    <row r="239" spans="1:10" s="870" customFormat="1" ht="38.25" x14ac:dyDescent="0.2">
      <c r="A239" s="868" t="s">
        <v>2603</v>
      </c>
      <c r="B239" s="861" t="s">
        <v>2981</v>
      </c>
      <c r="C239" s="862" t="s">
        <v>2662</v>
      </c>
      <c r="D239" s="862" t="s">
        <v>2669</v>
      </c>
      <c r="E239" s="863">
        <v>0</v>
      </c>
      <c r="F239" s="864">
        <v>44315</v>
      </c>
      <c r="G239" s="865" t="s">
        <v>2668</v>
      </c>
      <c r="H239" s="866"/>
      <c r="I239" s="867">
        <v>43951</v>
      </c>
      <c r="J239" s="861"/>
    </row>
    <row r="240" spans="1:10" s="870" customFormat="1" ht="38.25" x14ac:dyDescent="0.2">
      <c r="A240" s="868" t="s">
        <v>2603</v>
      </c>
      <c r="B240" s="861" t="s">
        <v>2982</v>
      </c>
      <c r="C240" s="862" t="s">
        <v>2663</v>
      </c>
      <c r="D240" s="862" t="s">
        <v>2669</v>
      </c>
      <c r="E240" s="863">
        <v>0</v>
      </c>
      <c r="F240" s="864">
        <v>44315</v>
      </c>
      <c r="G240" s="865" t="s">
        <v>2668</v>
      </c>
      <c r="H240" s="866"/>
      <c r="I240" s="867">
        <v>43951</v>
      </c>
      <c r="J240" s="861"/>
    </row>
    <row r="241" spans="1:10" s="870" customFormat="1" ht="38.25" x14ac:dyDescent="0.2">
      <c r="A241" s="868" t="s">
        <v>2603</v>
      </c>
      <c r="B241" s="861" t="s">
        <v>3017</v>
      </c>
      <c r="C241" s="862" t="s">
        <v>2664</v>
      </c>
      <c r="D241" s="862" t="s">
        <v>2669</v>
      </c>
      <c r="E241" s="863">
        <v>0</v>
      </c>
      <c r="F241" s="864">
        <v>44315</v>
      </c>
      <c r="G241" s="865" t="s">
        <v>2668</v>
      </c>
      <c r="H241" s="866"/>
      <c r="I241" s="867">
        <v>43951</v>
      </c>
      <c r="J241" s="861"/>
    </row>
    <row r="242" spans="1:10" s="870" customFormat="1" ht="38.25" x14ac:dyDescent="0.2">
      <c r="A242" s="868" t="s">
        <v>2603</v>
      </c>
      <c r="B242" s="861" t="s">
        <v>3018</v>
      </c>
      <c r="C242" s="862" t="s">
        <v>2665</v>
      </c>
      <c r="D242" s="862" t="s">
        <v>2669</v>
      </c>
      <c r="E242" s="863">
        <v>0</v>
      </c>
      <c r="F242" s="864">
        <v>44315</v>
      </c>
      <c r="G242" s="865" t="s">
        <v>2668</v>
      </c>
      <c r="H242" s="866"/>
      <c r="I242" s="867">
        <v>43951</v>
      </c>
      <c r="J242" s="861"/>
    </row>
    <row r="243" spans="1:10" s="870" customFormat="1" ht="38.25" x14ac:dyDescent="0.2">
      <c r="A243" s="868" t="s">
        <v>2603</v>
      </c>
      <c r="B243" s="861" t="s">
        <v>2987</v>
      </c>
      <c r="C243" s="862" t="s">
        <v>2666</v>
      </c>
      <c r="D243" s="862" t="s">
        <v>2669</v>
      </c>
      <c r="E243" s="863">
        <v>0</v>
      </c>
      <c r="F243" s="864">
        <v>44315</v>
      </c>
      <c r="G243" s="865" t="s">
        <v>2668</v>
      </c>
      <c r="H243" s="866"/>
      <c r="I243" s="867">
        <v>43951</v>
      </c>
      <c r="J243" s="861"/>
    </row>
    <row r="244" spans="1:10" s="870" customFormat="1" ht="51" x14ac:dyDescent="0.2">
      <c r="A244" s="868" t="s">
        <v>2603</v>
      </c>
      <c r="B244" s="861" t="s">
        <v>3003</v>
      </c>
      <c r="C244" s="862" t="s">
        <v>2667</v>
      </c>
      <c r="D244" s="862" t="s">
        <v>2669</v>
      </c>
      <c r="E244" s="863">
        <v>0</v>
      </c>
      <c r="F244" s="864">
        <v>44315</v>
      </c>
      <c r="G244" s="865" t="s">
        <v>2668</v>
      </c>
      <c r="H244" s="866"/>
      <c r="I244" s="867">
        <v>43951</v>
      </c>
      <c r="J244" s="861"/>
    </row>
    <row r="245" spans="1:10" s="870" customFormat="1" ht="38.25" x14ac:dyDescent="0.2">
      <c r="A245" s="868" t="s">
        <v>2706</v>
      </c>
      <c r="B245" s="861" t="s">
        <v>2990</v>
      </c>
      <c r="C245" s="862" t="s">
        <v>2707</v>
      </c>
      <c r="D245" s="862" t="s">
        <v>2669</v>
      </c>
      <c r="E245" s="863">
        <v>0</v>
      </c>
      <c r="F245" s="864">
        <v>44862</v>
      </c>
      <c r="G245" s="865" t="s">
        <v>2710</v>
      </c>
      <c r="H245" s="866"/>
      <c r="I245" s="867">
        <v>43962</v>
      </c>
      <c r="J245" s="861"/>
    </row>
    <row r="246" spans="1:10" s="870" customFormat="1" ht="38.25" x14ac:dyDescent="0.2">
      <c r="A246" s="868" t="s">
        <v>2706</v>
      </c>
      <c r="B246" s="861" t="s">
        <v>2990</v>
      </c>
      <c r="C246" s="862" t="s">
        <v>2775</v>
      </c>
      <c r="D246" s="862" t="s">
        <v>2669</v>
      </c>
      <c r="E246" s="863">
        <v>0</v>
      </c>
      <c r="F246" s="864">
        <v>44862</v>
      </c>
      <c r="G246" s="865" t="s">
        <v>2710</v>
      </c>
      <c r="H246" s="866"/>
      <c r="I246" s="867">
        <v>43962</v>
      </c>
      <c r="J246" s="861"/>
    </row>
    <row r="247" spans="1:10" s="870" customFormat="1" ht="38.25" x14ac:dyDescent="0.2">
      <c r="A247" s="868" t="s">
        <v>2706</v>
      </c>
      <c r="B247" s="861" t="s">
        <v>2800</v>
      </c>
      <c r="C247" s="862" t="s">
        <v>2708</v>
      </c>
      <c r="D247" s="862" t="s">
        <v>2669</v>
      </c>
      <c r="E247" s="863">
        <v>0</v>
      </c>
      <c r="F247" s="864">
        <v>44862</v>
      </c>
      <c r="G247" s="865" t="s">
        <v>2710</v>
      </c>
      <c r="H247" s="866"/>
      <c r="I247" s="867">
        <v>43962</v>
      </c>
      <c r="J247" s="861"/>
    </row>
    <row r="248" spans="1:10" s="870" customFormat="1" ht="38.25" x14ac:dyDescent="0.2">
      <c r="A248" s="868" t="s">
        <v>2706</v>
      </c>
      <c r="B248" s="861" t="s">
        <v>2990</v>
      </c>
      <c r="C248" s="862" t="s">
        <v>2709</v>
      </c>
      <c r="D248" s="862" t="s">
        <v>2669</v>
      </c>
      <c r="E248" s="863">
        <v>0</v>
      </c>
      <c r="F248" s="864">
        <v>44862</v>
      </c>
      <c r="G248" s="865" t="s">
        <v>2710</v>
      </c>
      <c r="H248" s="866"/>
      <c r="I248" s="867">
        <v>43962</v>
      </c>
      <c r="J248" s="861"/>
    </row>
    <row r="249" spans="1:10" s="870" customFormat="1" ht="38.25" x14ac:dyDescent="0.2">
      <c r="A249" s="868" t="s">
        <v>2706</v>
      </c>
      <c r="B249" s="861" t="s">
        <v>3015</v>
      </c>
      <c r="C249" s="862" t="s">
        <v>2711</v>
      </c>
      <c r="D249" s="862" t="s">
        <v>2669</v>
      </c>
      <c r="E249" s="863">
        <v>0</v>
      </c>
      <c r="F249" s="864">
        <v>44862</v>
      </c>
      <c r="G249" s="865" t="s">
        <v>2710</v>
      </c>
      <c r="H249" s="866"/>
      <c r="I249" s="867">
        <v>43962</v>
      </c>
      <c r="J249" s="861"/>
    </row>
    <row r="250" spans="1:10" s="870" customFormat="1" ht="50.25" customHeight="1" x14ac:dyDescent="0.2">
      <c r="A250" s="868" t="s">
        <v>2706</v>
      </c>
      <c r="B250" s="861" t="s">
        <v>2800</v>
      </c>
      <c r="C250" s="862" t="s">
        <v>2349</v>
      </c>
      <c r="D250" s="862" t="s">
        <v>2669</v>
      </c>
      <c r="E250" s="863">
        <v>0</v>
      </c>
      <c r="F250" s="864">
        <v>44862</v>
      </c>
      <c r="G250" s="865" t="s">
        <v>2710</v>
      </c>
      <c r="H250" s="866"/>
      <c r="I250" s="867">
        <v>43962</v>
      </c>
      <c r="J250" s="861"/>
    </row>
    <row r="251" spans="1:10" s="870" customFormat="1" ht="38.25" x14ac:dyDescent="0.2">
      <c r="A251" s="868" t="s">
        <v>2706</v>
      </c>
      <c r="B251" s="861" t="s">
        <v>2800</v>
      </c>
      <c r="C251" s="862" t="s">
        <v>2216</v>
      </c>
      <c r="D251" s="862" t="s">
        <v>2669</v>
      </c>
      <c r="E251" s="863">
        <v>0</v>
      </c>
      <c r="F251" s="864">
        <v>44862</v>
      </c>
      <c r="G251" s="865" t="s">
        <v>2710</v>
      </c>
      <c r="H251" s="866"/>
      <c r="I251" s="867">
        <v>43962</v>
      </c>
      <c r="J251" s="861"/>
    </row>
    <row r="252" spans="1:10" s="870" customFormat="1" ht="38.25" x14ac:dyDescent="0.2">
      <c r="A252" s="868" t="s">
        <v>2706</v>
      </c>
      <c r="B252" s="861" t="s">
        <v>3015</v>
      </c>
      <c r="C252" s="862" t="s">
        <v>2712</v>
      </c>
      <c r="D252" s="862" t="s">
        <v>2669</v>
      </c>
      <c r="E252" s="863">
        <v>0</v>
      </c>
      <c r="F252" s="864">
        <v>44862</v>
      </c>
      <c r="G252" s="865" t="s">
        <v>2710</v>
      </c>
      <c r="H252" s="866"/>
      <c r="I252" s="867">
        <v>43962</v>
      </c>
      <c r="J252" s="861"/>
    </row>
    <row r="253" spans="1:10" s="870" customFormat="1" ht="38.25" x14ac:dyDescent="0.2">
      <c r="A253" s="868" t="s">
        <v>2706</v>
      </c>
      <c r="B253" s="861" t="s">
        <v>2800</v>
      </c>
      <c r="C253" s="862" t="s">
        <v>2713</v>
      </c>
      <c r="D253" s="862" t="s">
        <v>2669</v>
      </c>
      <c r="E253" s="863">
        <v>0</v>
      </c>
      <c r="F253" s="864">
        <v>44862</v>
      </c>
      <c r="G253" s="865" t="s">
        <v>2710</v>
      </c>
      <c r="H253" s="866"/>
      <c r="I253" s="867">
        <v>43962</v>
      </c>
      <c r="J253" s="861"/>
    </row>
    <row r="254" spans="1:10" s="870" customFormat="1" ht="38.25" x14ac:dyDescent="0.2">
      <c r="A254" s="868" t="s">
        <v>2706</v>
      </c>
      <c r="B254" s="861" t="s">
        <v>3015</v>
      </c>
      <c r="C254" s="862" t="s">
        <v>2714</v>
      </c>
      <c r="D254" s="862" t="s">
        <v>2669</v>
      </c>
      <c r="E254" s="863">
        <v>0</v>
      </c>
      <c r="F254" s="864">
        <v>44862</v>
      </c>
      <c r="G254" s="865" t="s">
        <v>2710</v>
      </c>
      <c r="H254" s="866"/>
      <c r="I254" s="867">
        <v>43962</v>
      </c>
      <c r="J254" s="861"/>
    </row>
    <row r="255" spans="1:10" s="870" customFormat="1" ht="38.25" x14ac:dyDescent="0.2">
      <c r="A255" s="868" t="s">
        <v>2706</v>
      </c>
      <c r="B255" s="861" t="s">
        <v>2800</v>
      </c>
      <c r="C255" s="862" t="s">
        <v>1918</v>
      </c>
      <c r="D255" s="862" t="s">
        <v>2669</v>
      </c>
      <c r="E255" s="863">
        <v>0</v>
      </c>
      <c r="F255" s="864">
        <v>44862</v>
      </c>
      <c r="G255" s="865" t="s">
        <v>2710</v>
      </c>
      <c r="H255" s="866"/>
      <c r="I255" s="867">
        <v>43962</v>
      </c>
      <c r="J255" s="861"/>
    </row>
    <row r="256" spans="1:10" s="870" customFormat="1" ht="38.25" x14ac:dyDescent="0.2">
      <c r="A256" s="868" t="s">
        <v>2706</v>
      </c>
      <c r="B256" s="861" t="s">
        <v>3009</v>
      </c>
      <c r="C256" s="862" t="s">
        <v>2715</v>
      </c>
      <c r="D256" s="862" t="s">
        <v>2669</v>
      </c>
      <c r="E256" s="863">
        <v>0</v>
      </c>
      <c r="F256" s="864">
        <v>44862</v>
      </c>
      <c r="G256" s="865" t="s">
        <v>2710</v>
      </c>
      <c r="H256" s="866"/>
      <c r="I256" s="867">
        <v>43962</v>
      </c>
      <c r="J256" s="861"/>
    </row>
    <row r="257" spans="1:10" s="870" customFormat="1" ht="45" customHeight="1" x14ac:dyDescent="0.2">
      <c r="A257" s="868" t="s">
        <v>2706</v>
      </c>
      <c r="B257" s="861" t="s">
        <v>2800</v>
      </c>
      <c r="C257" s="862" t="s">
        <v>2716</v>
      </c>
      <c r="D257" s="862" t="s">
        <v>2669</v>
      </c>
      <c r="E257" s="863">
        <v>0</v>
      </c>
      <c r="F257" s="864">
        <v>44862</v>
      </c>
      <c r="G257" s="865" t="s">
        <v>2710</v>
      </c>
      <c r="H257" s="866"/>
      <c r="I257" s="867">
        <v>43962</v>
      </c>
      <c r="J257" s="861"/>
    </row>
    <row r="258" spans="1:10" s="870" customFormat="1" ht="49.5" customHeight="1" x14ac:dyDescent="0.2">
      <c r="A258" s="868" t="s">
        <v>2706</v>
      </c>
      <c r="B258" s="861" t="s">
        <v>2800</v>
      </c>
      <c r="C258" s="862" t="s">
        <v>2717</v>
      </c>
      <c r="D258" s="862" t="s">
        <v>2669</v>
      </c>
      <c r="E258" s="863">
        <v>0</v>
      </c>
      <c r="F258" s="864">
        <v>44862</v>
      </c>
      <c r="G258" s="865" t="s">
        <v>2710</v>
      </c>
      <c r="H258" s="866"/>
      <c r="I258" s="867">
        <v>43962</v>
      </c>
      <c r="J258" s="861"/>
    </row>
    <row r="259" spans="1:10" s="870" customFormat="1" ht="42.75" customHeight="1" x14ac:dyDescent="0.2">
      <c r="A259" s="868" t="s">
        <v>2706</v>
      </c>
      <c r="B259" s="861" t="s">
        <v>2800</v>
      </c>
      <c r="C259" s="862" t="s">
        <v>2718</v>
      </c>
      <c r="D259" s="862" t="s">
        <v>2669</v>
      </c>
      <c r="E259" s="863">
        <v>0</v>
      </c>
      <c r="F259" s="864">
        <v>44862</v>
      </c>
      <c r="G259" s="865" t="s">
        <v>2710</v>
      </c>
      <c r="H259" s="866"/>
      <c r="I259" s="867">
        <v>43962</v>
      </c>
      <c r="J259" s="861"/>
    </row>
    <row r="260" spans="1:10" s="870" customFormat="1" ht="38.25" x14ac:dyDescent="0.2">
      <c r="A260" s="868" t="s">
        <v>2706</v>
      </c>
      <c r="B260" s="861" t="s">
        <v>2800</v>
      </c>
      <c r="C260" s="862" t="s">
        <v>2719</v>
      </c>
      <c r="D260" s="862" t="s">
        <v>2669</v>
      </c>
      <c r="E260" s="863">
        <v>0</v>
      </c>
      <c r="F260" s="864">
        <v>44939</v>
      </c>
      <c r="G260" s="865" t="s">
        <v>2761</v>
      </c>
      <c r="H260" s="866"/>
      <c r="I260" s="867">
        <v>44039</v>
      </c>
      <c r="J260" s="861"/>
    </row>
    <row r="261" spans="1:10" s="870" customFormat="1" ht="38.25" x14ac:dyDescent="0.2">
      <c r="A261" s="868" t="s">
        <v>2706</v>
      </c>
      <c r="B261" s="861" t="s">
        <v>2800</v>
      </c>
      <c r="C261" s="862" t="s">
        <v>2720</v>
      </c>
      <c r="D261" s="862" t="s">
        <v>2669</v>
      </c>
      <c r="E261" s="863">
        <v>0</v>
      </c>
      <c r="F261" s="864">
        <v>44939</v>
      </c>
      <c r="G261" s="865" t="s">
        <v>2761</v>
      </c>
      <c r="H261" s="866"/>
      <c r="I261" s="867">
        <v>44039</v>
      </c>
      <c r="J261" s="861"/>
    </row>
    <row r="262" spans="1:10" s="870" customFormat="1" ht="38.25" x14ac:dyDescent="0.2">
      <c r="A262" s="868" t="s">
        <v>2706</v>
      </c>
      <c r="B262" s="861" t="s">
        <v>3006</v>
      </c>
      <c r="C262" s="862" t="s">
        <v>2721</v>
      </c>
      <c r="D262" s="862" t="s">
        <v>2669</v>
      </c>
      <c r="E262" s="863">
        <v>0</v>
      </c>
      <c r="F262" s="864">
        <v>44939</v>
      </c>
      <c r="G262" s="865" t="s">
        <v>2761</v>
      </c>
      <c r="H262" s="866"/>
      <c r="I262" s="867">
        <v>44039</v>
      </c>
      <c r="J262" s="861"/>
    </row>
    <row r="263" spans="1:10" s="870" customFormat="1" ht="38.25" x14ac:dyDescent="0.2">
      <c r="A263" s="868" t="s">
        <v>2706</v>
      </c>
      <c r="B263" s="861" t="s">
        <v>2800</v>
      </c>
      <c r="C263" s="862" t="s">
        <v>2722</v>
      </c>
      <c r="D263" s="862" t="s">
        <v>2669</v>
      </c>
      <c r="E263" s="863">
        <v>0</v>
      </c>
      <c r="F263" s="864">
        <v>44939</v>
      </c>
      <c r="G263" s="865" t="s">
        <v>2761</v>
      </c>
      <c r="H263" s="866"/>
      <c r="I263" s="867">
        <v>44039</v>
      </c>
      <c r="J263" s="861"/>
    </row>
    <row r="264" spans="1:10" s="870" customFormat="1" ht="38.25" x14ac:dyDescent="0.2">
      <c r="A264" s="868" t="s">
        <v>2706</v>
      </c>
      <c r="B264" s="861" t="s">
        <v>2990</v>
      </c>
      <c r="C264" s="862" t="s">
        <v>2723</v>
      </c>
      <c r="D264" s="862" t="s">
        <v>2669</v>
      </c>
      <c r="E264" s="863">
        <v>0</v>
      </c>
      <c r="F264" s="864">
        <v>44939</v>
      </c>
      <c r="G264" s="865" t="s">
        <v>2761</v>
      </c>
      <c r="H264" s="866"/>
      <c r="I264" s="867">
        <v>44039</v>
      </c>
      <c r="J264" s="861"/>
    </row>
    <row r="265" spans="1:10" s="870" customFormat="1" ht="38.25" x14ac:dyDescent="0.2">
      <c r="A265" s="868" t="s">
        <v>2706</v>
      </c>
      <c r="B265" s="861" t="s">
        <v>3005</v>
      </c>
      <c r="C265" s="862" t="s">
        <v>2092</v>
      </c>
      <c r="D265" s="862" t="s">
        <v>2669</v>
      </c>
      <c r="E265" s="863">
        <v>0</v>
      </c>
      <c r="F265" s="864">
        <v>44939</v>
      </c>
      <c r="G265" s="865" t="s">
        <v>2761</v>
      </c>
      <c r="H265" s="866"/>
      <c r="I265" s="867">
        <v>44039</v>
      </c>
      <c r="J265" s="861"/>
    </row>
    <row r="266" spans="1:10" s="870" customFormat="1" ht="38.25" x14ac:dyDescent="0.2">
      <c r="A266" s="868" t="s">
        <v>2706</v>
      </c>
      <c r="B266" s="861" t="s">
        <v>3004</v>
      </c>
      <c r="C266" s="862" t="s">
        <v>2724</v>
      </c>
      <c r="D266" s="862" t="s">
        <v>2669</v>
      </c>
      <c r="E266" s="863">
        <v>0</v>
      </c>
      <c r="F266" s="864">
        <v>44939</v>
      </c>
      <c r="G266" s="865" t="s">
        <v>2761</v>
      </c>
      <c r="H266" s="866"/>
      <c r="I266" s="867">
        <v>44039</v>
      </c>
      <c r="J266" s="861"/>
    </row>
    <row r="267" spans="1:10" s="870" customFormat="1" ht="38.25" x14ac:dyDescent="0.2">
      <c r="A267" s="868" t="s">
        <v>2706</v>
      </c>
      <c r="B267" s="861" t="s">
        <v>3003</v>
      </c>
      <c r="C267" s="862" t="s">
        <v>2725</v>
      </c>
      <c r="D267" s="862" t="s">
        <v>2669</v>
      </c>
      <c r="E267" s="863">
        <v>0</v>
      </c>
      <c r="F267" s="864">
        <v>44939</v>
      </c>
      <c r="G267" s="865" t="s">
        <v>2761</v>
      </c>
      <c r="H267" s="866"/>
      <c r="I267" s="867">
        <v>44039</v>
      </c>
      <c r="J267" s="861"/>
    </row>
    <row r="268" spans="1:10" s="870" customFormat="1" ht="38.25" x14ac:dyDescent="0.2">
      <c r="A268" s="868" t="s">
        <v>2706</v>
      </c>
      <c r="B268" s="861" t="s">
        <v>3002</v>
      </c>
      <c r="C268" s="862" t="s">
        <v>2726</v>
      </c>
      <c r="D268" s="862" t="s">
        <v>2669</v>
      </c>
      <c r="E268" s="863">
        <v>0</v>
      </c>
      <c r="F268" s="864">
        <v>44939</v>
      </c>
      <c r="G268" s="865" t="s">
        <v>2761</v>
      </c>
      <c r="H268" s="866"/>
      <c r="I268" s="867">
        <v>44039</v>
      </c>
      <c r="J268" s="861"/>
    </row>
    <row r="269" spans="1:10" s="870" customFormat="1" ht="38.25" x14ac:dyDescent="0.2">
      <c r="A269" s="868" t="s">
        <v>2706</v>
      </c>
      <c r="B269" s="861" t="s">
        <v>2990</v>
      </c>
      <c r="C269" s="862" t="s">
        <v>2727</v>
      </c>
      <c r="D269" s="862" t="s">
        <v>2669</v>
      </c>
      <c r="E269" s="863">
        <v>0</v>
      </c>
      <c r="F269" s="864">
        <v>44939</v>
      </c>
      <c r="G269" s="865" t="s">
        <v>2761</v>
      </c>
      <c r="H269" s="866"/>
      <c r="I269" s="867">
        <v>44039</v>
      </c>
      <c r="J269" s="861"/>
    </row>
    <row r="270" spans="1:10" s="870" customFormat="1" ht="38.25" x14ac:dyDescent="0.2">
      <c r="A270" s="868" t="s">
        <v>2706</v>
      </c>
      <c r="B270" s="861" t="s">
        <v>2990</v>
      </c>
      <c r="C270" s="862" t="s">
        <v>2728</v>
      </c>
      <c r="D270" s="862" t="s">
        <v>2669</v>
      </c>
      <c r="E270" s="863">
        <v>0</v>
      </c>
      <c r="F270" s="864">
        <v>44939</v>
      </c>
      <c r="G270" s="865" t="s">
        <v>2761</v>
      </c>
      <c r="H270" s="866"/>
      <c r="I270" s="867">
        <v>44039</v>
      </c>
      <c r="J270" s="861"/>
    </row>
    <row r="271" spans="1:10" s="870" customFormat="1" ht="38.25" x14ac:dyDescent="0.2">
      <c r="A271" s="868" t="s">
        <v>2706</v>
      </c>
      <c r="B271" s="861" t="s">
        <v>2990</v>
      </c>
      <c r="C271" s="862" t="s">
        <v>2729</v>
      </c>
      <c r="D271" s="862" t="s">
        <v>2669</v>
      </c>
      <c r="E271" s="863">
        <v>0</v>
      </c>
      <c r="F271" s="864">
        <v>44939</v>
      </c>
      <c r="G271" s="865" t="s">
        <v>2761</v>
      </c>
      <c r="H271" s="866"/>
      <c r="I271" s="867">
        <v>44039</v>
      </c>
      <c r="J271" s="861"/>
    </row>
    <row r="272" spans="1:10" s="870" customFormat="1" ht="51" x14ac:dyDescent="0.2">
      <c r="A272" s="868" t="s">
        <v>2706</v>
      </c>
      <c r="B272" s="861" t="s">
        <v>3000</v>
      </c>
      <c r="C272" s="862" t="s">
        <v>2730</v>
      </c>
      <c r="D272" s="862" t="s">
        <v>2669</v>
      </c>
      <c r="E272" s="863">
        <v>0</v>
      </c>
      <c r="F272" s="864">
        <v>44939</v>
      </c>
      <c r="G272" s="865" t="s">
        <v>2761</v>
      </c>
      <c r="H272" s="866"/>
      <c r="I272" s="867">
        <v>44039</v>
      </c>
      <c r="J272" s="861"/>
    </row>
    <row r="273" spans="1:10" s="870" customFormat="1" ht="38.25" x14ac:dyDescent="0.2">
      <c r="A273" s="868" t="s">
        <v>2706</v>
      </c>
      <c r="B273" s="861" t="s">
        <v>2987</v>
      </c>
      <c r="C273" s="862" t="s">
        <v>2731</v>
      </c>
      <c r="D273" s="862" t="s">
        <v>2669</v>
      </c>
      <c r="E273" s="863">
        <v>0</v>
      </c>
      <c r="F273" s="864">
        <v>44939</v>
      </c>
      <c r="G273" s="865" t="s">
        <v>2761</v>
      </c>
      <c r="H273" s="866"/>
      <c r="I273" s="867">
        <v>44039</v>
      </c>
      <c r="J273" s="861"/>
    </row>
    <row r="274" spans="1:10" s="870" customFormat="1" ht="38.25" x14ac:dyDescent="0.2">
      <c r="A274" s="868" t="s">
        <v>2706</v>
      </c>
      <c r="B274" s="861" t="s">
        <v>3001</v>
      </c>
      <c r="C274" s="862" t="s">
        <v>2732</v>
      </c>
      <c r="D274" s="862" t="s">
        <v>2669</v>
      </c>
      <c r="E274" s="863">
        <v>0</v>
      </c>
      <c r="F274" s="864">
        <v>44939</v>
      </c>
      <c r="G274" s="865" t="s">
        <v>2761</v>
      </c>
      <c r="H274" s="866"/>
      <c r="I274" s="867">
        <v>44039</v>
      </c>
      <c r="J274" s="861"/>
    </row>
    <row r="275" spans="1:10" s="870" customFormat="1" ht="38.25" x14ac:dyDescent="0.2">
      <c r="A275" s="868" t="s">
        <v>2706</v>
      </c>
      <c r="B275" s="861" t="s">
        <v>2987</v>
      </c>
      <c r="C275" s="862" t="s">
        <v>2733</v>
      </c>
      <c r="D275" s="862" t="s">
        <v>2669</v>
      </c>
      <c r="E275" s="863">
        <v>0</v>
      </c>
      <c r="F275" s="864">
        <v>44939</v>
      </c>
      <c r="G275" s="865" t="s">
        <v>2761</v>
      </c>
      <c r="H275" s="866"/>
      <c r="I275" s="867">
        <v>44039</v>
      </c>
      <c r="J275" s="861"/>
    </row>
    <row r="276" spans="1:10" s="870" customFormat="1" ht="38.25" x14ac:dyDescent="0.2">
      <c r="A276" s="868" t="s">
        <v>2706</v>
      </c>
      <c r="B276" s="861" t="s">
        <v>2990</v>
      </c>
      <c r="C276" s="862" t="s">
        <v>2734</v>
      </c>
      <c r="D276" s="862" t="s">
        <v>2669</v>
      </c>
      <c r="E276" s="863">
        <v>0</v>
      </c>
      <c r="F276" s="864">
        <v>44939</v>
      </c>
      <c r="G276" s="865" t="s">
        <v>2761</v>
      </c>
      <c r="H276" s="866"/>
      <c r="I276" s="867">
        <v>44039</v>
      </c>
      <c r="J276" s="861"/>
    </row>
    <row r="277" spans="1:10" s="870" customFormat="1" ht="38.25" x14ac:dyDescent="0.2">
      <c r="A277" s="868" t="s">
        <v>2706</v>
      </c>
      <c r="B277" s="861" t="s">
        <v>2989</v>
      </c>
      <c r="C277" s="862" t="s">
        <v>2735</v>
      </c>
      <c r="D277" s="862" t="s">
        <v>2669</v>
      </c>
      <c r="E277" s="863">
        <v>0</v>
      </c>
      <c r="F277" s="864">
        <v>44939</v>
      </c>
      <c r="G277" s="865" t="s">
        <v>2761</v>
      </c>
      <c r="H277" s="866"/>
      <c r="I277" s="867">
        <v>44039</v>
      </c>
      <c r="J277" s="861"/>
    </row>
    <row r="278" spans="1:10" s="870" customFormat="1" ht="38.25" x14ac:dyDescent="0.2">
      <c r="A278" s="868" t="s">
        <v>2706</v>
      </c>
      <c r="B278" s="861" t="s">
        <v>2990</v>
      </c>
      <c r="C278" s="862" t="s">
        <v>2736</v>
      </c>
      <c r="D278" s="862" t="s">
        <v>2669</v>
      </c>
      <c r="E278" s="863">
        <v>0</v>
      </c>
      <c r="F278" s="864">
        <v>44939</v>
      </c>
      <c r="G278" s="865" t="s">
        <v>2761</v>
      </c>
      <c r="H278" s="866"/>
      <c r="I278" s="867">
        <v>44039</v>
      </c>
      <c r="J278" s="861"/>
    </row>
    <row r="279" spans="1:10" s="870" customFormat="1" ht="38.25" x14ac:dyDescent="0.2">
      <c r="A279" s="868" t="s">
        <v>2706</v>
      </c>
      <c r="B279" s="861" t="s">
        <v>2990</v>
      </c>
      <c r="C279" s="862" t="s">
        <v>2737</v>
      </c>
      <c r="D279" s="862" t="s">
        <v>2669</v>
      </c>
      <c r="E279" s="863">
        <v>0</v>
      </c>
      <c r="F279" s="864">
        <v>44939</v>
      </c>
      <c r="G279" s="865" t="s">
        <v>2761</v>
      </c>
      <c r="H279" s="866"/>
      <c r="I279" s="867">
        <v>44039</v>
      </c>
      <c r="J279" s="861"/>
    </row>
    <row r="280" spans="1:10" s="870" customFormat="1" ht="38.25" x14ac:dyDescent="0.2">
      <c r="A280" s="868" t="s">
        <v>2706</v>
      </c>
      <c r="B280" s="861" t="s">
        <v>2987</v>
      </c>
      <c r="C280" s="862" t="s">
        <v>2738</v>
      </c>
      <c r="D280" s="862" t="s">
        <v>2669</v>
      </c>
      <c r="E280" s="863">
        <v>0</v>
      </c>
      <c r="F280" s="864">
        <v>44939</v>
      </c>
      <c r="G280" s="865" t="s">
        <v>2761</v>
      </c>
      <c r="H280" s="866"/>
      <c r="I280" s="867">
        <v>44039</v>
      </c>
      <c r="J280" s="861"/>
    </row>
    <row r="281" spans="1:10" s="870" customFormat="1" ht="38.25" x14ac:dyDescent="0.2">
      <c r="A281" s="868" t="s">
        <v>2706</v>
      </c>
      <c r="B281" s="861" t="s">
        <v>2987</v>
      </c>
      <c r="C281" s="862" t="s">
        <v>2739</v>
      </c>
      <c r="D281" s="862" t="s">
        <v>2669</v>
      </c>
      <c r="E281" s="863">
        <v>0</v>
      </c>
      <c r="F281" s="864">
        <v>44939</v>
      </c>
      <c r="G281" s="865" t="s">
        <v>2761</v>
      </c>
      <c r="H281" s="866"/>
      <c r="I281" s="867">
        <v>44039</v>
      </c>
      <c r="J281" s="861"/>
    </row>
    <row r="282" spans="1:10" s="870" customFormat="1" ht="38.25" x14ac:dyDescent="0.2">
      <c r="A282" s="868" t="s">
        <v>2706</v>
      </c>
      <c r="B282" s="861" t="s">
        <v>2990</v>
      </c>
      <c r="C282" s="862" t="s">
        <v>2740</v>
      </c>
      <c r="D282" s="862" t="s">
        <v>2669</v>
      </c>
      <c r="E282" s="863">
        <v>0</v>
      </c>
      <c r="F282" s="864">
        <v>44939</v>
      </c>
      <c r="G282" s="865" t="s">
        <v>2761</v>
      </c>
      <c r="H282" s="866"/>
      <c r="I282" s="867">
        <v>44039</v>
      </c>
      <c r="J282" s="861"/>
    </row>
    <row r="283" spans="1:10" s="870" customFormat="1" ht="38.25" x14ac:dyDescent="0.2">
      <c r="A283" s="868" t="s">
        <v>2706</v>
      </c>
      <c r="B283" s="861" t="s">
        <v>2990</v>
      </c>
      <c r="C283" s="862" t="s">
        <v>2741</v>
      </c>
      <c r="D283" s="862" t="s">
        <v>2669</v>
      </c>
      <c r="E283" s="863">
        <v>0</v>
      </c>
      <c r="F283" s="864">
        <v>44939</v>
      </c>
      <c r="G283" s="865" t="s">
        <v>2761</v>
      </c>
      <c r="H283" s="866"/>
      <c r="I283" s="867">
        <v>44039</v>
      </c>
      <c r="J283" s="861"/>
    </row>
    <row r="284" spans="1:10" s="870" customFormat="1" ht="47.25" customHeight="1" x14ac:dyDescent="0.2">
      <c r="A284" s="868" t="s">
        <v>2706</v>
      </c>
      <c r="B284" s="861" t="s">
        <v>2990</v>
      </c>
      <c r="C284" s="862" t="s">
        <v>2742</v>
      </c>
      <c r="D284" s="862" t="s">
        <v>2669</v>
      </c>
      <c r="E284" s="863">
        <v>0</v>
      </c>
      <c r="F284" s="864">
        <v>44939</v>
      </c>
      <c r="G284" s="865" t="s">
        <v>2761</v>
      </c>
      <c r="H284" s="866"/>
      <c r="I284" s="867">
        <v>44039</v>
      </c>
      <c r="J284" s="861"/>
    </row>
    <row r="285" spans="1:10" s="870" customFormat="1" ht="38.25" x14ac:dyDescent="0.2">
      <c r="A285" s="868" t="s">
        <v>2706</v>
      </c>
      <c r="B285" s="861" t="s">
        <v>2990</v>
      </c>
      <c r="C285" s="862" t="s">
        <v>2743</v>
      </c>
      <c r="D285" s="862" t="s">
        <v>2669</v>
      </c>
      <c r="E285" s="863">
        <v>0</v>
      </c>
      <c r="F285" s="864">
        <v>44939</v>
      </c>
      <c r="G285" s="865" t="s">
        <v>2761</v>
      </c>
      <c r="H285" s="866"/>
      <c r="I285" s="867">
        <v>44039</v>
      </c>
      <c r="J285" s="861"/>
    </row>
    <row r="286" spans="1:10" s="870" customFormat="1" ht="66" customHeight="1" x14ac:dyDescent="0.2">
      <c r="A286" s="868" t="s">
        <v>2706</v>
      </c>
      <c r="B286" s="861" t="s">
        <v>2800</v>
      </c>
      <c r="C286" s="862" t="s">
        <v>1832</v>
      </c>
      <c r="D286" s="862" t="s">
        <v>2669</v>
      </c>
      <c r="E286" s="863">
        <v>0</v>
      </c>
      <c r="F286" s="864">
        <v>44939</v>
      </c>
      <c r="G286" s="865" t="s">
        <v>2761</v>
      </c>
      <c r="H286" s="866"/>
      <c r="I286" s="867">
        <v>44039</v>
      </c>
      <c r="J286" s="861"/>
    </row>
    <row r="287" spans="1:10" s="870" customFormat="1" ht="66" customHeight="1" x14ac:dyDescent="0.2">
      <c r="A287" s="868" t="s">
        <v>2706</v>
      </c>
      <c r="B287" s="861" t="s">
        <v>3000</v>
      </c>
      <c r="C287" s="862" t="s">
        <v>2744</v>
      </c>
      <c r="D287" s="862" t="s">
        <v>2669</v>
      </c>
      <c r="E287" s="863">
        <v>0</v>
      </c>
      <c r="F287" s="864">
        <v>44939</v>
      </c>
      <c r="G287" s="865" t="s">
        <v>2761</v>
      </c>
      <c r="H287" s="866"/>
      <c r="I287" s="867">
        <v>44039</v>
      </c>
      <c r="J287" s="861"/>
    </row>
    <row r="288" spans="1:10" s="870" customFormat="1" ht="38.25" x14ac:dyDescent="0.2">
      <c r="A288" s="868" t="s">
        <v>2706</v>
      </c>
      <c r="B288" s="861" t="s">
        <v>2990</v>
      </c>
      <c r="C288" s="862" t="s">
        <v>2745</v>
      </c>
      <c r="D288" s="862" t="s">
        <v>2669</v>
      </c>
      <c r="E288" s="863">
        <v>0</v>
      </c>
      <c r="F288" s="864">
        <v>44939</v>
      </c>
      <c r="G288" s="865" t="s">
        <v>2761</v>
      </c>
      <c r="H288" s="866"/>
      <c r="I288" s="867">
        <v>44039</v>
      </c>
      <c r="J288" s="861"/>
    </row>
    <row r="289" spans="1:10" s="870" customFormat="1" ht="51" x14ac:dyDescent="0.2">
      <c r="A289" s="868" t="s">
        <v>2706</v>
      </c>
      <c r="B289" s="861" t="s">
        <v>2983</v>
      </c>
      <c r="C289" s="862" t="s">
        <v>2746</v>
      </c>
      <c r="D289" s="862" t="s">
        <v>2669</v>
      </c>
      <c r="E289" s="863">
        <v>0</v>
      </c>
      <c r="F289" s="864">
        <v>44939</v>
      </c>
      <c r="G289" s="865" t="s">
        <v>2761</v>
      </c>
      <c r="H289" s="866"/>
      <c r="I289" s="867">
        <v>44039</v>
      </c>
      <c r="J289" s="861"/>
    </row>
    <row r="290" spans="1:10" s="870" customFormat="1" ht="38.25" x14ac:dyDescent="0.2">
      <c r="A290" s="868" t="s">
        <v>2706</v>
      </c>
      <c r="B290" s="861" t="s">
        <v>2999</v>
      </c>
      <c r="C290" s="862" t="s">
        <v>2747</v>
      </c>
      <c r="D290" s="862" t="s">
        <v>2669</v>
      </c>
      <c r="E290" s="863">
        <v>0</v>
      </c>
      <c r="F290" s="864">
        <v>44939</v>
      </c>
      <c r="G290" s="865" t="s">
        <v>2761</v>
      </c>
      <c r="H290" s="866"/>
      <c r="I290" s="867">
        <v>44039</v>
      </c>
      <c r="J290" s="861"/>
    </row>
    <row r="291" spans="1:10" s="870" customFormat="1" ht="38.25" x14ac:dyDescent="0.2">
      <c r="A291" s="868" t="s">
        <v>2706</v>
      </c>
      <c r="B291" s="861" t="s">
        <v>2998</v>
      </c>
      <c r="C291" s="862" t="s">
        <v>2748</v>
      </c>
      <c r="D291" s="862" t="s">
        <v>2669</v>
      </c>
      <c r="E291" s="863">
        <v>0</v>
      </c>
      <c r="F291" s="864">
        <v>44939</v>
      </c>
      <c r="G291" s="865" t="s">
        <v>2761</v>
      </c>
      <c r="H291" s="866"/>
      <c r="I291" s="867">
        <v>44039</v>
      </c>
      <c r="J291" s="861"/>
    </row>
    <row r="292" spans="1:10" s="870" customFormat="1" ht="38.25" x14ac:dyDescent="0.2">
      <c r="A292" s="868" t="s">
        <v>2706</v>
      </c>
      <c r="B292" s="861" t="s">
        <v>2800</v>
      </c>
      <c r="C292" s="862" t="s">
        <v>2749</v>
      </c>
      <c r="D292" s="862" t="s">
        <v>2669</v>
      </c>
      <c r="E292" s="863">
        <v>0</v>
      </c>
      <c r="F292" s="864">
        <v>44939</v>
      </c>
      <c r="G292" s="865" t="s">
        <v>2761</v>
      </c>
      <c r="H292" s="866"/>
      <c r="I292" s="867">
        <v>44039</v>
      </c>
      <c r="J292" s="861"/>
    </row>
    <row r="293" spans="1:10" s="870" customFormat="1" ht="38.25" x14ac:dyDescent="0.2">
      <c r="A293" s="868" t="s">
        <v>2706</v>
      </c>
      <c r="B293" s="861" t="s">
        <v>2997</v>
      </c>
      <c r="C293" s="862" t="s">
        <v>2750</v>
      </c>
      <c r="D293" s="862" t="s">
        <v>2669</v>
      </c>
      <c r="E293" s="863">
        <v>0</v>
      </c>
      <c r="F293" s="864">
        <v>44939</v>
      </c>
      <c r="G293" s="865" t="s">
        <v>2761</v>
      </c>
      <c r="H293" s="866"/>
      <c r="I293" s="867">
        <v>44039</v>
      </c>
      <c r="J293" s="861"/>
    </row>
    <row r="294" spans="1:10" s="870" customFormat="1" ht="38.25" x14ac:dyDescent="0.2">
      <c r="A294" s="868" t="s">
        <v>2706</v>
      </c>
      <c r="B294" s="861" t="s">
        <v>2990</v>
      </c>
      <c r="C294" s="862" t="s">
        <v>2751</v>
      </c>
      <c r="D294" s="862" t="s">
        <v>2669</v>
      </c>
      <c r="E294" s="863">
        <v>0</v>
      </c>
      <c r="F294" s="864">
        <v>44939</v>
      </c>
      <c r="G294" s="865" t="s">
        <v>2761</v>
      </c>
      <c r="H294" s="866"/>
      <c r="I294" s="867">
        <v>44039</v>
      </c>
      <c r="J294" s="861"/>
    </row>
    <row r="295" spans="1:10" s="870" customFormat="1" ht="38.25" x14ac:dyDescent="0.2">
      <c r="A295" s="868" t="s">
        <v>2706</v>
      </c>
      <c r="B295" s="861" t="s">
        <v>2990</v>
      </c>
      <c r="C295" s="862" t="s">
        <v>2752</v>
      </c>
      <c r="D295" s="862" t="s">
        <v>2669</v>
      </c>
      <c r="E295" s="863">
        <v>0</v>
      </c>
      <c r="F295" s="864">
        <v>44939</v>
      </c>
      <c r="G295" s="865" t="s">
        <v>2761</v>
      </c>
      <c r="H295" s="866"/>
      <c r="I295" s="867">
        <v>44039</v>
      </c>
      <c r="J295" s="861"/>
    </row>
    <row r="296" spans="1:10" s="870" customFormat="1" ht="38.25" x14ac:dyDescent="0.2">
      <c r="A296" s="868" t="s">
        <v>2706</v>
      </c>
      <c r="B296" s="861" t="s">
        <v>2990</v>
      </c>
      <c r="C296" s="862" t="s">
        <v>2753</v>
      </c>
      <c r="D296" s="862" t="s">
        <v>2669</v>
      </c>
      <c r="E296" s="863">
        <v>0</v>
      </c>
      <c r="F296" s="864">
        <v>44939</v>
      </c>
      <c r="G296" s="865" t="s">
        <v>2761</v>
      </c>
      <c r="H296" s="866"/>
      <c r="I296" s="867">
        <v>44039</v>
      </c>
      <c r="J296" s="861"/>
    </row>
    <row r="297" spans="1:10" s="870" customFormat="1" ht="38.25" x14ac:dyDescent="0.2">
      <c r="A297" s="868" t="s">
        <v>2706</v>
      </c>
      <c r="B297" s="861" t="s">
        <v>2996</v>
      </c>
      <c r="C297" s="862" t="s">
        <v>2754</v>
      </c>
      <c r="D297" s="862" t="s">
        <v>2669</v>
      </c>
      <c r="E297" s="863">
        <v>0</v>
      </c>
      <c r="F297" s="864">
        <v>44939</v>
      </c>
      <c r="G297" s="865" t="s">
        <v>2761</v>
      </c>
      <c r="H297" s="866"/>
      <c r="I297" s="867">
        <v>44039</v>
      </c>
      <c r="J297" s="861"/>
    </row>
    <row r="298" spans="1:10" s="870" customFormat="1" ht="38.25" x14ac:dyDescent="0.2">
      <c r="A298" s="868" t="s">
        <v>2706</v>
      </c>
      <c r="B298" s="861" t="s">
        <v>2990</v>
      </c>
      <c r="C298" s="862" t="s">
        <v>2755</v>
      </c>
      <c r="D298" s="862" t="s">
        <v>2669</v>
      </c>
      <c r="E298" s="863">
        <v>0</v>
      </c>
      <c r="F298" s="864">
        <v>44939</v>
      </c>
      <c r="G298" s="865" t="s">
        <v>2761</v>
      </c>
      <c r="H298" s="866"/>
      <c r="I298" s="867">
        <v>44039</v>
      </c>
      <c r="J298" s="861"/>
    </row>
    <row r="299" spans="1:10" s="870" customFormat="1" ht="44.25" customHeight="1" x14ac:dyDescent="0.2">
      <c r="A299" s="868" t="s">
        <v>2706</v>
      </c>
      <c r="B299" s="861" t="s">
        <v>2990</v>
      </c>
      <c r="C299" s="862" t="s">
        <v>2756</v>
      </c>
      <c r="D299" s="862" t="s">
        <v>2669</v>
      </c>
      <c r="E299" s="863">
        <v>0</v>
      </c>
      <c r="F299" s="864">
        <v>44939</v>
      </c>
      <c r="G299" s="865" t="s">
        <v>2761</v>
      </c>
      <c r="H299" s="866"/>
      <c r="I299" s="867">
        <v>44039</v>
      </c>
      <c r="J299" s="861"/>
    </row>
    <row r="300" spans="1:10" s="870" customFormat="1" ht="38.25" x14ac:dyDescent="0.2">
      <c r="A300" s="868" t="s">
        <v>2706</v>
      </c>
      <c r="B300" s="861" t="s">
        <v>2995</v>
      </c>
      <c r="C300" s="862" t="s">
        <v>2215</v>
      </c>
      <c r="D300" s="862" t="s">
        <v>2669</v>
      </c>
      <c r="E300" s="863">
        <v>0</v>
      </c>
      <c r="F300" s="864">
        <v>44939</v>
      </c>
      <c r="G300" s="865" t="s">
        <v>2761</v>
      </c>
      <c r="H300" s="866"/>
      <c r="I300" s="867">
        <v>44039</v>
      </c>
      <c r="J300" s="861"/>
    </row>
    <row r="301" spans="1:10" s="870" customFormat="1" ht="38.25" x14ac:dyDescent="0.2">
      <c r="A301" s="868" t="s">
        <v>2706</v>
      </c>
      <c r="B301" s="861" t="s">
        <v>2994</v>
      </c>
      <c r="C301" s="862" t="s">
        <v>2757</v>
      </c>
      <c r="D301" s="862" t="s">
        <v>2669</v>
      </c>
      <c r="E301" s="863">
        <v>0</v>
      </c>
      <c r="F301" s="864">
        <v>44939</v>
      </c>
      <c r="G301" s="865" t="s">
        <v>2761</v>
      </c>
      <c r="H301" s="866"/>
      <c r="I301" s="867">
        <v>44039</v>
      </c>
      <c r="J301" s="861"/>
    </row>
    <row r="302" spans="1:10" s="870" customFormat="1" ht="38.25" x14ac:dyDescent="0.2">
      <c r="A302" s="868" t="s">
        <v>2706</v>
      </c>
      <c r="B302" s="861" t="s">
        <v>2993</v>
      </c>
      <c r="C302" s="862" t="s">
        <v>1825</v>
      </c>
      <c r="D302" s="862" t="s">
        <v>2669</v>
      </c>
      <c r="E302" s="863">
        <v>0</v>
      </c>
      <c r="F302" s="864">
        <v>44939</v>
      </c>
      <c r="G302" s="865" t="s">
        <v>2761</v>
      </c>
      <c r="H302" s="866"/>
      <c r="I302" s="867">
        <v>44039</v>
      </c>
      <c r="J302" s="861"/>
    </row>
    <row r="303" spans="1:10" s="870" customFormat="1" ht="38.25" x14ac:dyDescent="0.2">
      <c r="A303" s="868" t="s">
        <v>2706</v>
      </c>
      <c r="B303" s="861" t="s">
        <v>2993</v>
      </c>
      <c r="C303" s="862" t="s">
        <v>2758</v>
      </c>
      <c r="D303" s="862" t="s">
        <v>2669</v>
      </c>
      <c r="E303" s="863">
        <v>0</v>
      </c>
      <c r="F303" s="864">
        <v>44939</v>
      </c>
      <c r="G303" s="865" t="s">
        <v>2761</v>
      </c>
      <c r="H303" s="866"/>
      <c r="I303" s="867">
        <v>44039</v>
      </c>
      <c r="J303" s="861"/>
    </row>
    <row r="304" spans="1:10" s="870" customFormat="1" ht="51" x14ac:dyDescent="0.2">
      <c r="A304" s="868" t="s">
        <v>2706</v>
      </c>
      <c r="B304" s="861" t="s">
        <v>2992</v>
      </c>
      <c r="C304" s="862" t="s">
        <v>2759</v>
      </c>
      <c r="D304" s="862" t="s">
        <v>2669</v>
      </c>
      <c r="E304" s="863">
        <v>0</v>
      </c>
      <c r="F304" s="864">
        <v>44939</v>
      </c>
      <c r="G304" s="865" t="s">
        <v>2761</v>
      </c>
      <c r="H304" s="866"/>
      <c r="I304" s="867">
        <v>44039</v>
      </c>
      <c r="J304" s="861"/>
    </row>
    <row r="305" spans="1:10" s="870" customFormat="1" ht="51" x14ac:dyDescent="0.2">
      <c r="A305" s="868" t="s">
        <v>2706</v>
      </c>
      <c r="B305" s="861" t="s">
        <v>2991</v>
      </c>
      <c r="C305" s="862" t="s">
        <v>1875</v>
      </c>
      <c r="D305" s="862" t="s">
        <v>2669</v>
      </c>
      <c r="E305" s="863">
        <v>0</v>
      </c>
      <c r="F305" s="864">
        <v>44939</v>
      </c>
      <c r="G305" s="865" t="s">
        <v>2761</v>
      </c>
      <c r="H305" s="866"/>
      <c r="I305" s="867">
        <v>44039</v>
      </c>
      <c r="J305" s="861"/>
    </row>
    <row r="306" spans="1:10" s="870" customFormat="1" ht="38.25" x14ac:dyDescent="0.2">
      <c r="A306" s="868" t="s">
        <v>2706</v>
      </c>
      <c r="B306" s="861" t="s">
        <v>2987</v>
      </c>
      <c r="C306" s="862" t="s">
        <v>2760</v>
      </c>
      <c r="D306" s="862" t="s">
        <v>2669</v>
      </c>
      <c r="E306" s="863">
        <v>0</v>
      </c>
      <c r="F306" s="864">
        <v>44939</v>
      </c>
      <c r="G306" s="865" t="s">
        <v>2761</v>
      </c>
      <c r="H306" s="866"/>
      <c r="I306" s="867">
        <v>44039</v>
      </c>
      <c r="J306" s="861"/>
    </row>
    <row r="307" spans="1:10" s="870" customFormat="1" x14ac:dyDescent="0.2">
      <c r="A307" s="868"/>
      <c r="B307" s="861"/>
      <c r="C307" s="862"/>
      <c r="D307" s="862"/>
      <c r="E307" s="863"/>
      <c r="F307" s="864"/>
      <c r="G307" s="865"/>
      <c r="H307" s="866"/>
      <c r="I307" s="867"/>
      <c r="J307" s="861"/>
    </row>
    <row r="308" spans="1:10" s="870" customFormat="1" x14ac:dyDescent="0.2">
      <c r="A308" s="868"/>
      <c r="B308" s="861"/>
      <c r="C308" s="862"/>
      <c r="D308" s="862"/>
      <c r="E308" s="863"/>
      <c r="F308" s="864"/>
      <c r="G308" s="865"/>
      <c r="H308" s="866"/>
      <c r="I308" s="867"/>
      <c r="J308" s="861"/>
    </row>
    <row r="309" spans="1:10" x14ac:dyDescent="0.2">
      <c r="C309" s="870" t="s">
        <v>2779</v>
      </c>
      <c r="D309" s="870" t="s">
        <v>2780</v>
      </c>
    </row>
    <row r="310" spans="1:10" x14ac:dyDescent="0.2">
      <c r="C310" s="870" t="s">
        <v>2781</v>
      </c>
      <c r="D310" s="882" t="s">
        <v>2782</v>
      </c>
    </row>
    <row r="311" spans="1:10" x14ac:dyDescent="0.2">
      <c r="C311" s="870" t="s">
        <v>2783</v>
      </c>
      <c r="D311" s="882" t="s">
        <v>2784</v>
      </c>
    </row>
    <row r="312" spans="1:10" x14ac:dyDescent="0.2">
      <c r="C312" s="870" t="s">
        <v>2785</v>
      </c>
      <c r="D312" s="882" t="s">
        <v>2786</v>
      </c>
    </row>
    <row r="313" spans="1:10" x14ac:dyDescent="0.2">
      <c r="C313" s="870" t="s">
        <v>2787</v>
      </c>
      <c r="D313" s="882" t="s">
        <v>2788</v>
      </c>
    </row>
    <row r="314" spans="1:10" x14ac:dyDescent="0.2">
      <c r="C314" s="870" t="s">
        <v>2777</v>
      </c>
      <c r="D314" s="882" t="s">
        <v>2789</v>
      </c>
    </row>
    <row r="315" spans="1:10" x14ac:dyDescent="0.2">
      <c r="C315" s="870" t="s">
        <v>2790</v>
      </c>
      <c r="D315" s="870" t="s">
        <v>2791</v>
      </c>
    </row>
    <row r="316" spans="1:10" x14ac:dyDescent="0.2">
      <c r="D316" s="881" t="s">
        <v>2778</v>
      </c>
    </row>
    <row r="317" spans="1:10" x14ac:dyDescent="0.2">
      <c r="D317" s="882" t="s">
        <v>2792</v>
      </c>
    </row>
    <row r="318" spans="1:10" x14ac:dyDescent="0.2">
      <c r="D318" s="882" t="s">
        <v>2793</v>
      </c>
    </row>
  </sheetData>
  <mergeCells count="10">
    <mergeCell ref="G2:G3"/>
    <mergeCell ref="H2:H3"/>
    <mergeCell ref="I2:I3"/>
    <mergeCell ref="J2:J3"/>
    <mergeCell ref="A2:A3"/>
    <mergeCell ref="B2:B3"/>
    <mergeCell ref="C2:C3"/>
    <mergeCell ref="D2:D3"/>
    <mergeCell ref="E2:E3"/>
    <mergeCell ref="F2:F3"/>
  </mergeCells>
  <phoneticPr fontId="2" type="noConversion"/>
  <pageMargins left="0.51181102362204722" right="0.51181102362204722" top="0.78740157480314965" bottom="0.78740157480314965" header="0.31496062992125984" footer="0.31496062992125984"/>
  <pageSetup paperSize="9" scale="93" orientation="portrait" horizontalDpi="300" verticalDpi="300" r:id="rId1"/>
  <rowBreaks count="1" manualBreakCount="1">
    <brk id="289" max="31"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4"/>
  <sheetViews>
    <sheetView tabSelected="1" topLeftCell="A28" zoomScale="82" zoomScaleNormal="82" workbookViewId="0">
      <selection activeCell="D16" sqref="D16"/>
    </sheetView>
  </sheetViews>
  <sheetFormatPr defaultRowHeight="12.75" x14ac:dyDescent="0.2"/>
  <cols>
    <col min="1" max="1" width="29.7109375" style="847" customWidth="1"/>
    <col min="2" max="2" width="37.5703125" style="847" bestFit="1" customWidth="1"/>
    <col min="3" max="3" width="52.42578125" style="847" customWidth="1"/>
    <col min="4" max="4" width="71.85546875" style="889" customWidth="1"/>
    <col min="5" max="5" width="30.7109375" style="847" customWidth="1"/>
    <col min="6" max="6" width="20.85546875" style="847" customWidth="1"/>
    <col min="7" max="7" width="45.28515625" style="847" customWidth="1"/>
    <col min="8" max="8" width="25" style="849" customWidth="1"/>
    <col min="9" max="9" width="20.5703125" style="847" customWidth="1"/>
    <col min="10" max="10" width="66.5703125" style="847" customWidth="1"/>
    <col min="11" max="16384" width="9.140625" style="847"/>
  </cols>
  <sheetData>
    <row r="1" spans="1:14" x14ac:dyDescent="0.2">
      <c r="D1" s="847"/>
    </row>
    <row r="2" spans="1:14" ht="29.25" customHeight="1" thickBot="1" x14ac:dyDescent="0.25">
      <c r="B2" s="848"/>
      <c r="C2" s="849"/>
      <c r="D2" s="847"/>
      <c r="F2" s="850"/>
      <c r="G2" s="850"/>
    </row>
    <row r="3" spans="1:14" ht="31.5" customHeight="1" x14ac:dyDescent="0.2">
      <c r="A3" s="887" t="s">
        <v>2</v>
      </c>
      <c r="B3" s="883" t="s">
        <v>2795</v>
      </c>
      <c r="C3" s="883" t="s">
        <v>5</v>
      </c>
      <c r="D3" s="883" t="s">
        <v>6</v>
      </c>
      <c r="E3" s="883" t="s">
        <v>7</v>
      </c>
      <c r="F3" s="884" t="s">
        <v>8</v>
      </c>
      <c r="G3" s="883" t="s">
        <v>9</v>
      </c>
      <c r="H3" s="883" t="s">
        <v>10</v>
      </c>
      <c r="I3" s="885" t="s">
        <v>243</v>
      </c>
      <c r="J3" s="886" t="s">
        <v>15</v>
      </c>
    </row>
    <row r="4" spans="1:14" s="859" customFormat="1" x14ac:dyDescent="0.2">
      <c r="A4" s="851" t="s">
        <v>23</v>
      </c>
      <c r="B4" s="851" t="s">
        <v>24</v>
      </c>
      <c r="C4" s="852" t="s">
        <v>303</v>
      </c>
      <c r="D4" s="906" t="s">
        <v>971</v>
      </c>
      <c r="E4" s="853" t="s">
        <v>972</v>
      </c>
      <c r="F4" s="854" t="s">
        <v>233</v>
      </c>
      <c r="G4" s="855" t="s">
        <v>970</v>
      </c>
      <c r="H4" s="856" t="s">
        <v>727</v>
      </c>
      <c r="I4" s="857">
        <v>41954</v>
      </c>
      <c r="J4" s="851" t="s">
        <v>3195</v>
      </c>
      <c r="K4" s="858"/>
      <c r="L4" s="858"/>
      <c r="M4" s="858"/>
      <c r="N4" s="858"/>
    </row>
    <row r="5" spans="1:14" s="848" customFormat="1" ht="30" customHeight="1" x14ac:dyDescent="0.2">
      <c r="A5" s="860" t="s">
        <v>1065</v>
      </c>
      <c r="B5" s="861" t="s">
        <v>56</v>
      </c>
      <c r="C5" s="862" t="s">
        <v>1066</v>
      </c>
      <c r="D5" s="907" t="s">
        <v>1067</v>
      </c>
      <c r="E5" s="863" t="s">
        <v>2776</v>
      </c>
      <c r="F5" s="864" t="s">
        <v>233</v>
      </c>
      <c r="G5" s="865" t="s">
        <v>1068</v>
      </c>
      <c r="H5" s="866" t="s">
        <v>1088</v>
      </c>
      <c r="I5" s="867">
        <v>40998</v>
      </c>
      <c r="J5" s="861" t="s">
        <v>3196</v>
      </c>
    </row>
    <row r="6" spans="1:14" s="848" customFormat="1" ht="25.5" x14ac:dyDescent="0.2">
      <c r="A6" s="861" t="s">
        <v>23</v>
      </c>
      <c r="B6" s="861" t="s">
        <v>372</v>
      </c>
      <c r="C6" s="862" t="s">
        <v>1022</v>
      </c>
      <c r="D6" s="907" t="s">
        <v>968</v>
      </c>
      <c r="E6" s="863" t="s">
        <v>972</v>
      </c>
      <c r="F6" s="864" t="s">
        <v>233</v>
      </c>
      <c r="G6" s="865" t="s">
        <v>969</v>
      </c>
      <c r="H6" s="869" t="s">
        <v>3190</v>
      </c>
      <c r="I6" s="867">
        <v>36819</v>
      </c>
      <c r="J6" s="861" t="s">
        <v>3197</v>
      </c>
    </row>
    <row r="7" spans="1:14" s="870" customFormat="1" ht="24.75" customHeight="1" x14ac:dyDescent="0.2">
      <c r="A7" s="861" t="s">
        <v>215</v>
      </c>
      <c r="B7" s="861" t="s">
        <v>24</v>
      </c>
      <c r="C7" s="862" t="s">
        <v>216</v>
      </c>
      <c r="D7" s="907" t="s">
        <v>1389</v>
      </c>
      <c r="E7" s="863" t="s">
        <v>375</v>
      </c>
      <c r="F7" s="864">
        <v>44894</v>
      </c>
      <c r="G7" s="865" t="s">
        <v>1157</v>
      </c>
      <c r="H7" s="866" t="s">
        <v>757</v>
      </c>
      <c r="I7" s="867">
        <v>41204</v>
      </c>
      <c r="J7" s="861" t="s">
        <v>3198</v>
      </c>
    </row>
    <row r="8" spans="1:14" s="848" customFormat="1" ht="25.5" x14ac:dyDescent="0.2">
      <c r="A8" s="860" t="s">
        <v>1158</v>
      </c>
      <c r="B8" s="861"/>
      <c r="C8" s="862" t="s">
        <v>1423</v>
      </c>
      <c r="D8" s="907" t="s">
        <v>1160</v>
      </c>
      <c r="E8" s="863">
        <v>13598.16</v>
      </c>
      <c r="F8" s="864">
        <v>43377</v>
      </c>
      <c r="G8" s="865" t="s">
        <v>2085</v>
      </c>
      <c r="H8" s="866" t="s">
        <v>1394</v>
      </c>
      <c r="I8" s="867">
        <v>41186</v>
      </c>
      <c r="J8" s="861" t="s">
        <v>3199</v>
      </c>
    </row>
    <row r="9" spans="1:14" s="848" customFormat="1" ht="25.5" x14ac:dyDescent="0.2">
      <c r="A9" s="868" t="s">
        <v>2578</v>
      </c>
      <c r="B9" s="861" t="s">
        <v>56</v>
      </c>
      <c r="C9" s="862" t="s">
        <v>50</v>
      </c>
      <c r="D9" s="907" t="s">
        <v>2768</v>
      </c>
      <c r="E9" s="863">
        <v>16537.2</v>
      </c>
      <c r="F9" s="864">
        <v>44308</v>
      </c>
      <c r="G9" s="865" t="s">
        <v>2769</v>
      </c>
      <c r="H9" s="878" t="s">
        <v>738</v>
      </c>
      <c r="I9" s="867">
        <v>43944</v>
      </c>
      <c r="J9" s="861" t="s">
        <v>3197</v>
      </c>
    </row>
    <row r="10" spans="1:14" s="848" customFormat="1" ht="51.75" customHeight="1" x14ac:dyDescent="0.2">
      <c r="A10" s="860" t="s">
        <v>1733</v>
      </c>
      <c r="B10" s="861" t="s">
        <v>1734</v>
      </c>
      <c r="C10" s="862" t="s">
        <v>1735</v>
      </c>
      <c r="D10" s="907" t="s">
        <v>1736</v>
      </c>
      <c r="E10" s="863">
        <f>600958.44+50079.87</f>
        <v>651038.30999999994</v>
      </c>
      <c r="F10" s="864">
        <v>44076</v>
      </c>
      <c r="G10" s="865" t="s">
        <v>2700</v>
      </c>
      <c r="H10" s="878" t="s">
        <v>3021</v>
      </c>
      <c r="I10" s="867">
        <v>43315</v>
      </c>
      <c r="J10" s="861" t="s">
        <v>3199</v>
      </c>
    </row>
    <row r="11" spans="1:14" s="848" customFormat="1" ht="66" customHeight="1" x14ac:dyDescent="0.2">
      <c r="A11" s="868" t="s">
        <v>2763</v>
      </c>
      <c r="B11" s="861" t="s">
        <v>2764</v>
      </c>
      <c r="C11" s="862" t="s">
        <v>1735</v>
      </c>
      <c r="D11" s="907" t="s">
        <v>2762</v>
      </c>
      <c r="E11" s="863">
        <v>406680</v>
      </c>
      <c r="F11" s="864">
        <v>44433</v>
      </c>
      <c r="G11" s="865" t="s">
        <v>2765</v>
      </c>
      <c r="H11" s="878" t="s">
        <v>3022</v>
      </c>
      <c r="I11" s="867">
        <v>44069</v>
      </c>
      <c r="J11" s="861" t="s">
        <v>3200</v>
      </c>
    </row>
    <row r="12" spans="1:14" s="870" customFormat="1" ht="35.25" customHeight="1" x14ac:dyDescent="0.2">
      <c r="A12" s="868" t="s">
        <v>1895</v>
      </c>
      <c r="B12" s="861" t="s">
        <v>2798</v>
      </c>
      <c r="C12" s="862" t="s">
        <v>1897</v>
      </c>
      <c r="D12" s="907" t="s">
        <v>2035</v>
      </c>
      <c r="E12" s="863">
        <v>8190.74</v>
      </c>
      <c r="F12" s="864">
        <v>44375</v>
      </c>
      <c r="G12" s="865" t="s">
        <v>2688</v>
      </c>
      <c r="H12" s="878" t="s">
        <v>3023</v>
      </c>
      <c r="I12" s="867">
        <v>42550</v>
      </c>
      <c r="J12" s="861" t="s">
        <v>3199</v>
      </c>
    </row>
    <row r="13" spans="1:14" s="870" customFormat="1" ht="25.5" x14ac:dyDescent="0.2">
      <c r="A13" s="868" t="s">
        <v>2692</v>
      </c>
      <c r="B13" s="861" t="s">
        <v>2801</v>
      </c>
      <c r="C13" s="862" t="s">
        <v>1900</v>
      </c>
      <c r="D13" s="907" t="s">
        <v>1901</v>
      </c>
      <c r="E13" s="863">
        <v>7422</v>
      </c>
      <c r="F13" s="864">
        <v>44395</v>
      </c>
      <c r="G13" s="865" t="s">
        <v>2693</v>
      </c>
      <c r="H13" s="878" t="s">
        <v>3024</v>
      </c>
      <c r="I13" s="867">
        <v>42569</v>
      </c>
      <c r="J13" s="861" t="s">
        <v>3199</v>
      </c>
    </row>
    <row r="14" spans="1:14" s="870" customFormat="1" ht="25.5" x14ac:dyDescent="0.2">
      <c r="A14" s="868" t="s">
        <v>1916</v>
      </c>
      <c r="B14" s="861" t="s">
        <v>1917</v>
      </c>
      <c r="C14" s="862" t="s">
        <v>1918</v>
      </c>
      <c r="D14" s="907" t="s">
        <v>1919</v>
      </c>
      <c r="E14" s="863">
        <v>0</v>
      </c>
      <c r="F14" s="864">
        <v>44065</v>
      </c>
      <c r="G14" s="865" t="s">
        <v>2547</v>
      </c>
      <c r="H14" s="878" t="s">
        <v>3025</v>
      </c>
      <c r="I14" s="867">
        <v>42605</v>
      </c>
      <c r="J14" s="861" t="s">
        <v>3199</v>
      </c>
    </row>
    <row r="15" spans="1:14" s="870" customFormat="1" ht="25.5" x14ac:dyDescent="0.2">
      <c r="A15" s="868" t="s">
        <v>1916</v>
      </c>
      <c r="B15" s="861" t="s">
        <v>1917</v>
      </c>
      <c r="C15" s="862" t="s">
        <v>1921</v>
      </c>
      <c r="D15" s="907" t="s">
        <v>1919</v>
      </c>
      <c r="E15" s="863">
        <v>0</v>
      </c>
      <c r="F15" s="864">
        <v>44065</v>
      </c>
      <c r="G15" s="865" t="s">
        <v>2547</v>
      </c>
      <c r="H15" s="878" t="s">
        <v>3026</v>
      </c>
      <c r="I15" s="867">
        <v>42605</v>
      </c>
      <c r="J15" s="861" t="s">
        <v>3201</v>
      </c>
    </row>
    <row r="16" spans="1:14" s="870" customFormat="1" ht="25.5" x14ac:dyDescent="0.2">
      <c r="A16" s="868" t="s">
        <v>1916</v>
      </c>
      <c r="B16" s="861" t="s">
        <v>1917</v>
      </c>
      <c r="C16" s="862" t="s">
        <v>1923</v>
      </c>
      <c r="D16" s="907" t="s">
        <v>1919</v>
      </c>
      <c r="E16" s="863">
        <v>0</v>
      </c>
      <c r="F16" s="864">
        <v>44430</v>
      </c>
      <c r="G16" s="865" t="s">
        <v>2696</v>
      </c>
      <c r="H16" s="878" t="s">
        <v>3027</v>
      </c>
      <c r="I16" s="867">
        <v>42605</v>
      </c>
      <c r="J16" s="861" t="s">
        <v>3199</v>
      </c>
    </row>
    <row r="17" spans="1:13" s="870" customFormat="1" ht="25.5" x14ac:dyDescent="0.2">
      <c r="A17" s="868" t="s">
        <v>1916</v>
      </c>
      <c r="B17" s="861" t="s">
        <v>1917</v>
      </c>
      <c r="C17" s="862" t="s">
        <v>1924</v>
      </c>
      <c r="D17" s="907" t="s">
        <v>1919</v>
      </c>
      <c r="E17" s="863">
        <v>0</v>
      </c>
      <c r="F17" s="864">
        <v>44065</v>
      </c>
      <c r="G17" s="865" t="s">
        <v>2547</v>
      </c>
      <c r="H17" s="878" t="s">
        <v>2814</v>
      </c>
      <c r="I17" s="867">
        <v>42605</v>
      </c>
      <c r="J17" s="861" t="s">
        <v>3199</v>
      </c>
    </row>
    <row r="18" spans="1:13" s="870" customFormat="1" ht="25.5" x14ac:dyDescent="0.2">
      <c r="A18" s="868" t="s">
        <v>1916</v>
      </c>
      <c r="B18" s="861" t="s">
        <v>1917</v>
      </c>
      <c r="C18" s="862" t="s">
        <v>1931</v>
      </c>
      <c r="D18" s="907" t="s">
        <v>1919</v>
      </c>
      <c r="E18" s="863">
        <v>0</v>
      </c>
      <c r="F18" s="864">
        <v>44065</v>
      </c>
      <c r="G18" s="865" t="s">
        <v>2547</v>
      </c>
      <c r="H18" s="878" t="s">
        <v>3028</v>
      </c>
      <c r="I18" s="867">
        <v>42605</v>
      </c>
      <c r="J18" s="861" t="s">
        <v>3200</v>
      </c>
      <c r="M18" s="871"/>
    </row>
    <row r="19" spans="1:13" s="870" customFormat="1" ht="25.5" x14ac:dyDescent="0.2">
      <c r="A19" s="868" t="s">
        <v>1976</v>
      </c>
      <c r="B19" s="861" t="s">
        <v>1980</v>
      </c>
      <c r="C19" s="862" t="s">
        <v>1547</v>
      </c>
      <c r="D19" s="907" t="s">
        <v>2128</v>
      </c>
      <c r="E19" s="863">
        <v>96460.91</v>
      </c>
      <c r="F19" s="864">
        <v>44340</v>
      </c>
      <c r="G19" s="865" t="s">
        <v>2703</v>
      </c>
      <c r="H19" s="878" t="s">
        <v>1314</v>
      </c>
      <c r="I19" s="867">
        <v>42725</v>
      </c>
      <c r="J19" s="861" t="s">
        <v>3200</v>
      </c>
    </row>
    <row r="20" spans="1:13" s="880" customFormat="1" ht="25.5" x14ac:dyDescent="0.2">
      <c r="A20" s="872" t="s">
        <v>2002</v>
      </c>
      <c r="B20" s="873" t="s">
        <v>2798</v>
      </c>
      <c r="C20" s="874" t="s">
        <v>2004</v>
      </c>
      <c r="D20" s="908" t="s">
        <v>1210</v>
      </c>
      <c r="E20" s="875">
        <v>4078.44</v>
      </c>
      <c r="F20" s="876">
        <v>44255</v>
      </c>
      <c r="G20" s="877" t="s">
        <v>2704</v>
      </c>
      <c r="H20" s="878" t="s">
        <v>735</v>
      </c>
      <c r="I20" s="879">
        <v>42795</v>
      </c>
      <c r="J20" s="873" t="s">
        <v>3202</v>
      </c>
    </row>
    <row r="21" spans="1:13" s="870" customFormat="1" ht="25.5" x14ac:dyDescent="0.2">
      <c r="A21" s="868" t="s">
        <v>2010</v>
      </c>
      <c r="B21" s="861" t="s">
        <v>2797</v>
      </c>
      <c r="C21" s="862" t="s">
        <v>340</v>
      </c>
      <c r="D21" s="907" t="s">
        <v>2012</v>
      </c>
      <c r="E21" s="863">
        <v>26328.36</v>
      </c>
      <c r="F21" s="864">
        <v>44278</v>
      </c>
      <c r="G21" s="865" t="s">
        <v>2689</v>
      </c>
      <c r="H21" s="878" t="s">
        <v>2832</v>
      </c>
      <c r="I21" s="867">
        <v>42818</v>
      </c>
      <c r="J21" s="861" t="s">
        <v>3203</v>
      </c>
    </row>
    <row r="22" spans="1:13" s="870" customFormat="1" ht="25.5" x14ac:dyDescent="0.2">
      <c r="A22" s="868" t="s">
        <v>2047</v>
      </c>
      <c r="B22" s="861" t="s">
        <v>2798</v>
      </c>
      <c r="C22" s="862" t="s">
        <v>2048</v>
      </c>
      <c r="D22" s="907" t="s">
        <v>2049</v>
      </c>
      <c r="E22" s="863">
        <v>10707</v>
      </c>
      <c r="F22" s="864">
        <v>44028</v>
      </c>
      <c r="G22" s="865" t="s">
        <v>2050</v>
      </c>
      <c r="H22" s="878" t="s">
        <v>3029</v>
      </c>
      <c r="I22" s="867">
        <v>42933</v>
      </c>
      <c r="J22" s="861" t="s">
        <v>3204</v>
      </c>
    </row>
    <row r="23" spans="1:13" s="870" customFormat="1" ht="25.5" x14ac:dyDescent="0.2">
      <c r="A23" s="868" t="s">
        <v>2066</v>
      </c>
      <c r="B23" s="861" t="s">
        <v>2067</v>
      </c>
      <c r="C23" s="862" t="s">
        <v>2771</v>
      </c>
      <c r="D23" s="907" t="s">
        <v>2069</v>
      </c>
      <c r="E23" s="863" t="s">
        <v>2071</v>
      </c>
      <c r="F23" s="864">
        <v>44432</v>
      </c>
      <c r="G23" s="865" t="s">
        <v>2698</v>
      </c>
      <c r="H23" s="878" t="s">
        <v>2835</v>
      </c>
      <c r="I23" s="867">
        <v>42972</v>
      </c>
      <c r="J23" s="861" t="s">
        <v>3200</v>
      </c>
    </row>
    <row r="24" spans="1:13" s="870" customFormat="1" ht="38.25" x14ac:dyDescent="0.2">
      <c r="A24" s="868" t="s">
        <v>2066</v>
      </c>
      <c r="B24" s="861" t="s">
        <v>2067</v>
      </c>
      <c r="C24" s="862" t="s">
        <v>2771</v>
      </c>
      <c r="D24" s="907" t="s">
        <v>2073</v>
      </c>
      <c r="E24" s="863" t="s">
        <v>2074</v>
      </c>
      <c r="F24" s="864">
        <v>44432</v>
      </c>
      <c r="G24" s="865" t="s">
        <v>2698</v>
      </c>
      <c r="H24" s="878" t="s">
        <v>2835</v>
      </c>
      <c r="I24" s="867">
        <v>42972</v>
      </c>
      <c r="J24" s="861" t="s">
        <v>3200</v>
      </c>
    </row>
    <row r="25" spans="1:13" s="870" customFormat="1" ht="93" customHeight="1" x14ac:dyDescent="0.2">
      <c r="A25" s="868" t="s">
        <v>2066</v>
      </c>
      <c r="B25" s="861" t="s">
        <v>2067</v>
      </c>
      <c r="C25" s="862" t="s">
        <v>2771</v>
      </c>
      <c r="D25" s="907" t="s">
        <v>2551</v>
      </c>
      <c r="E25" s="863">
        <v>1477.89</v>
      </c>
      <c r="F25" s="864">
        <v>44067</v>
      </c>
      <c r="G25" s="865" t="s">
        <v>2548</v>
      </c>
      <c r="H25" s="878" t="s">
        <v>2835</v>
      </c>
      <c r="I25" s="867">
        <v>42972</v>
      </c>
      <c r="J25" s="861" t="s">
        <v>3200</v>
      </c>
    </row>
    <row r="26" spans="1:13" s="870" customFormat="1" ht="107.25" customHeight="1" x14ac:dyDescent="0.2">
      <c r="A26" s="868" t="s">
        <v>2101</v>
      </c>
      <c r="B26" s="861" t="s">
        <v>2102</v>
      </c>
      <c r="C26" s="862" t="s">
        <v>2674</v>
      </c>
      <c r="D26" s="909" t="s">
        <v>2104</v>
      </c>
      <c r="E26" s="863">
        <v>3100000</v>
      </c>
      <c r="F26" s="864">
        <v>44558</v>
      </c>
      <c r="G26" s="865" t="s">
        <v>2675</v>
      </c>
      <c r="H26" s="878" t="s">
        <v>1310</v>
      </c>
      <c r="I26" s="867">
        <v>43098</v>
      </c>
      <c r="J26" s="861" t="s">
        <v>3204</v>
      </c>
    </row>
    <row r="27" spans="1:13" s="870" customFormat="1" ht="25.5" x14ac:dyDescent="0.2">
      <c r="A27" s="868" t="s">
        <v>2118</v>
      </c>
      <c r="B27" s="861" t="s">
        <v>2295</v>
      </c>
      <c r="C27" s="862" t="s">
        <v>340</v>
      </c>
      <c r="D27" s="907" t="s">
        <v>2119</v>
      </c>
      <c r="E27" s="863">
        <v>4498.08</v>
      </c>
      <c r="F27" s="864">
        <v>44186</v>
      </c>
      <c r="G27" s="865" t="s">
        <v>2672</v>
      </c>
      <c r="H27" s="878" t="s">
        <v>2832</v>
      </c>
      <c r="I27" s="867">
        <v>43090</v>
      </c>
      <c r="J27" s="861" t="s">
        <v>3203</v>
      </c>
    </row>
    <row r="28" spans="1:13" s="870" customFormat="1" ht="38.25" x14ac:dyDescent="0.2">
      <c r="A28" s="868" t="s">
        <v>2131</v>
      </c>
      <c r="B28" s="861" t="s">
        <v>2803</v>
      </c>
      <c r="C28" s="862" t="s">
        <v>2132</v>
      </c>
      <c r="D28" s="907" t="s">
        <v>2273</v>
      </c>
      <c r="E28" s="863" t="s">
        <v>2274</v>
      </c>
      <c r="F28" s="864">
        <v>45049</v>
      </c>
      <c r="G28" s="865" t="s">
        <v>2133</v>
      </c>
      <c r="H28" s="878" t="s">
        <v>3030</v>
      </c>
      <c r="I28" s="867">
        <v>43224</v>
      </c>
      <c r="J28" s="861" t="s">
        <v>3203</v>
      </c>
    </row>
    <row r="29" spans="1:13" s="870" customFormat="1" ht="25.5" x14ac:dyDescent="0.2">
      <c r="A29" s="868" t="s">
        <v>2139</v>
      </c>
      <c r="B29" s="861" t="s">
        <v>2796</v>
      </c>
      <c r="C29" s="862" t="s">
        <v>1632</v>
      </c>
      <c r="D29" s="907" t="s">
        <v>2140</v>
      </c>
      <c r="E29" s="863">
        <v>179989.92</v>
      </c>
      <c r="F29" s="864">
        <v>44276</v>
      </c>
      <c r="G29" s="865" t="s">
        <v>2683</v>
      </c>
      <c r="H29" s="878" t="s">
        <v>3031</v>
      </c>
      <c r="I29" s="867">
        <v>43181</v>
      </c>
      <c r="J29" s="861" t="s">
        <v>3200</v>
      </c>
    </row>
    <row r="30" spans="1:13" s="870" customFormat="1" ht="25.5" x14ac:dyDescent="0.2">
      <c r="A30" s="868" t="s">
        <v>2142</v>
      </c>
      <c r="B30" s="861" t="s">
        <v>2797</v>
      </c>
      <c r="C30" s="862" t="s">
        <v>2146</v>
      </c>
      <c r="D30" s="907" t="s">
        <v>2386</v>
      </c>
      <c r="E30" s="863">
        <v>133953.60000000001</v>
      </c>
      <c r="F30" s="864">
        <v>44275</v>
      </c>
      <c r="G30" s="865" t="s">
        <v>2681</v>
      </c>
      <c r="H30" s="1033" t="s">
        <v>3191</v>
      </c>
      <c r="I30" s="867">
        <v>43180</v>
      </c>
      <c r="J30" s="861" t="s">
        <v>3203</v>
      </c>
    </row>
    <row r="31" spans="1:13" s="870" customFormat="1" ht="25.5" x14ac:dyDescent="0.2">
      <c r="A31" s="868" t="s">
        <v>2690</v>
      </c>
      <c r="B31" s="861" t="s">
        <v>2798</v>
      </c>
      <c r="C31" s="862" t="s">
        <v>2237</v>
      </c>
      <c r="D31" s="907" t="s">
        <v>2238</v>
      </c>
      <c r="E31" s="863">
        <v>13619.71</v>
      </c>
      <c r="F31" s="864">
        <v>44385</v>
      </c>
      <c r="G31" s="865" t="s">
        <v>2691</v>
      </c>
      <c r="H31" s="878" t="s">
        <v>750</v>
      </c>
      <c r="I31" s="867">
        <v>43290</v>
      </c>
      <c r="J31" s="861" t="s">
        <v>3203</v>
      </c>
    </row>
    <row r="32" spans="1:13" s="870" customFormat="1" ht="25.5" x14ac:dyDescent="0.2">
      <c r="A32" s="868" t="s">
        <v>1916</v>
      </c>
      <c r="B32" s="861" t="s">
        <v>1917</v>
      </c>
      <c r="C32" s="862" t="s">
        <v>2265</v>
      </c>
      <c r="D32" s="907" t="s">
        <v>1919</v>
      </c>
      <c r="E32" s="863">
        <v>0</v>
      </c>
      <c r="F32" s="864">
        <v>44332</v>
      </c>
      <c r="G32" s="865" t="s">
        <v>2695</v>
      </c>
      <c r="H32" s="878" t="s">
        <v>3032</v>
      </c>
      <c r="I32" s="867">
        <v>43236</v>
      </c>
      <c r="J32" s="861" t="s">
        <v>3200</v>
      </c>
    </row>
    <row r="33" spans="1:10" s="870" customFormat="1" x14ac:dyDescent="0.2">
      <c r="A33" s="868" t="s">
        <v>2308</v>
      </c>
      <c r="B33" s="861" t="s">
        <v>2309</v>
      </c>
      <c r="C33" s="862" t="s">
        <v>2310</v>
      </c>
      <c r="D33" s="907" t="s">
        <v>2311</v>
      </c>
      <c r="E33" s="863">
        <v>34977</v>
      </c>
      <c r="F33" s="864">
        <v>44227</v>
      </c>
      <c r="G33" s="865" t="s">
        <v>2677</v>
      </c>
      <c r="H33" s="878" t="s">
        <v>3033</v>
      </c>
      <c r="I33" s="867">
        <v>43497</v>
      </c>
      <c r="J33" s="861" t="s">
        <v>3205</v>
      </c>
    </row>
    <row r="34" spans="1:10" s="870" customFormat="1" ht="25.5" x14ac:dyDescent="0.2">
      <c r="A34" s="868" t="s">
        <v>2319</v>
      </c>
      <c r="B34" s="861" t="s">
        <v>2320</v>
      </c>
      <c r="C34" s="862" t="s">
        <v>2321</v>
      </c>
      <c r="D34" s="907" t="s">
        <v>2322</v>
      </c>
      <c r="E34" s="863">
        <v>54785.04</v>
      </c>
      <c r="F34" s="864">
        <v>44209</v>
      </c>
      <c r="G34" s="865" t="s">
        <v>2671</v>
      </c>
      <c r="H34" s="878" t="s">
        <v>3034</v>
      </c>
      <c r="I34" s="867">
        <v>43479</v>
      </c>
      <c r="J34" s="861" t="s">
        <v>3200</v>
      </c>
    </row>
    <row r="35" spans="1:10" s="870" customFormat="1" ht="38.25" x14ac:dyDescent="0.2">
      <c r="A35" s="868" t="s">
        <v>2324</v>
      </c>
      <c r="B35" s="861" t="s">
        <v>2325</v>
      </c>
      <c r="C35" s="862" t="s">
        <v>2326</v>
      </c>
      <c r="D35" s="907" t="s">
        <v>1984</v>
      </c>
      <c r="E35" s="863">
        <v>223186.12</v>
      </c>
      <c r="F35" s="864">
        <v>44275</v>
      </c>
      <c r="G35" s="865" t="s">
        <v>2682</v>
      </c>
      <c r="H35" s="878" t="s">
        <v>840</v>
      </c>
      <c r="I35" s="867">
        <v>43544</v>
      </c>
      <c r="J35" s="861" t="s">
        <v>3206</v>
      </c>
    </row>
    <row r="36" spans="1:10" s="870" customFormat="1" ht="25.5" x14ac:dyDescent="0.2">
      <c r="A36" s="868" t="s">
        <v>2328</v>
      </c>
      <c r="B36" s="861" t="s">
        <v>2301</v>
      </c>
      <c r="C36" s="862" t="s">
        <v>2678</v>
      </c>
      <c r="D36" s="907" t="s">
        <v>2330</v>
      </c>
      <c r="E36" s="863">
        <v>24510</v>
      </c>
      <c r="F36" s="864">
        <v>44226</v>
      </c>
      <c r="G36" s="865" t="s">
        <v>2702</v>
      </c>
      <c r="H36" s="878" t="s">
        <v>2839</v>
      </c>
      <c r="I36" s="867">
        <v>43496</v>
      </c>
      <c r="J36" s="861" t="s">
        <v>3204</v>
      </c>
    </row>
    <row r="37" spans="1:10" s="870" customFormat="1" ht="25.5" x14ac:dyDescent="0.2">
      <c r="A37" s="868" t="s">
        <v>2332</v>
      </c>
      <c r="B37" s="861" t="s">
        <v>2798</v>
      </c>
      <c r="C37" s="862" t="s">
        <v>2078</v>
      </c>
      <c r="D37" s="907" t="s">
        <v>2079</v>
      </c>
      <c r="E37" s="863">
        <v>9600</v>
      </c>
      <c r="F37" s="864">
        <v>44227</v>
      </c>
      <c r="G37" s="865" t="s">
        <v>2676</v>
      </c>
      <c r="H37" s="878" t="s">
        <v>3035</v>
      </c>
      <c r="I37" s="867">
        <v>43497</v>
      </c>
      <c r="J37" s="861" t="s">
        <v>3200</v>
      </c>
    </row>
    <row r="38" spans="1:10" s="870" customFormat="1" ht="38.25" x14ac:dyDescent="0.2">
      <c r="A38" s="868" t="s">
        <v>2334</v>
      </c>
      <c r="B38" s="861" t="s">
        <v>2796</v>
      </c>
      <c r="C38" s="862" t="s">
        <v>2293</v>
      </c>
      <c r="D38" s="907" t="s">
        <v>2335</v>
      </c>
      <c r="E38" s="863">
        <v>30104.04</v>
      </c>
      <c r="F38" s="864">
        <v>44232</v>
      </c>
      <c r="G38" s="865" t="s">
        <v>2673</v>
      </c>
      <c r="H38" s="878" t="s">
        <v>1378</v>
      </c>
      <c r="I38" s="867">
        <v>43502</v>
      </c>
      <c r="J38" s="861" t="s">
        <v>3200</v>
      </c>
    </row>
    <row r="39" spans="1:10" s="870" customFormat="1" ht="30.75" customHeight="1" x14ac:dyDescent="0.2">
      <c r="A39" s="868" t="s">
        <v>2150</v>
      </c>
      <c r="B39" s="861" t="s">
        <v>2802</v>
      </c>
      <c r="C39" s="862" t="s">
        <v>2338</v>
      </c>
      <c r="D39" s="907" t="s">
        <v>2339</v>
      </c>
      <c r="E39" s="863">
        <v>0</v>
      </c>
      <c r="F39" s="864">
        <v>44405</v>
      </c>
      <c r="G39" s="865" t="s">
        <v>2340</v>
      </c>
      <c r="H39" s="878" t="s">
        <v>3036</v>
      </c>
      <c r="I39" s="867">
        <v>43494</v>
      </c>
      <c r="J39" s="861" t="s">
        <v>3207</v>
      </c>
    </row>
    <row r="40" spans="1:10" s="870" customFormat="1" ht="34.5" customHeight="1" x14ac:dyDescent="0.2">
      <c r="A40" s="868" t="s">
        <v>2150</v>
      </c>
      <c r="B40" s="861" t="s">
        <v>2802</v>
      </c>
      <c r="C40" s="862" t="s">
        <v>2341</v>
      </c>
      <c r="D40" s="907" t="s">
        <v>2339</v>
      </c>
      <c r="E40" s="863">
        <v>0</v>
      </c>
      <c r="F40" s="864">
        <v>44406</v>
      </c>
      <c r="G40" s="865" t="s">
        <v>2342</v>
      </c>
      <c r="H40" s="878" t="s">
        <v>3037</v>
      </c>
      <c r="I40" s="867">
        <v>43495</v>
      </c>
      <c r="J40" s="861" t="s">
        <v>3209</v>
      </c>
    </row>
    <row r="41" spans="1:10" s="870" customFormat="1" ht="30" customHeight="1" x14ac:dyDescent="0.2">
      <c r="A41" s="868" t="s">
        <v>2150</v>
      </c>
      <c r="B41" s="861" t="s">
        <v>2802</v>
      </c>
      <c r="C41" s="862" t="s">
        <v>2344</v>
      </c>
      <c r="D41" s="907" t="s">
        <v>2339</v>
      </c>
      <c r="E41" s="863">
        <v>0</v>
      </c>
      <c r="F41" s="864">
        <v>44415</v>
      </c>
      <c r="G41" s="865" t="s">
        <v>2345</v>
      </c>
      <c r="H41" s="1034" t="s">
        <v>3194</v>
      </c>
      <c r="I41" s="867">
        <v>43504</v>
      </c>
      <c r="J41" s="861" t="s">
        <v>3209</v>
      </c>
    </row>
    <row r="42" spans="1:10" s="870" customFormat="1" ht="25.5" customHeight="1" x14ac:dyDescent="0.2">
      <c r="A42" s="868" t="s">
        <v>2150</v>
      </c>
      <c r="B42" s="861" t="s">
        <v>2802</v>
      </c>
      <c r="C42" s="862" t="s">
        <v>2351</v>
      </c>
      <c r="D42" s="907" t="s">
        <v>2339</v>
      </c>
      <c r="E42" s="863">
        <v>0</v>
      </c>
      <c r="F42" s="864">
        <v>44422</v>
      </c>
      <c r="G42" s="865" t="s">
        <v>2346</v>
      </c>
      <c r="H42" s="878" t="s">
        <v>3038</v>
      </c>
      <c r="I42" s="867">
        <v>43511</v>
      </c>
      <c r="J42" s="861" t="s">
        <v>3209</v>
      </c>
    </row>
    <row r="43" spans="1:10" s="870" customFormat="1" ht="48" customHeight="1" x14ac:dyDescent="0.2">
      <c r="A43" s="868" t="s">
        <v>2150</v>
      </c>
      <c r="B43" s="861" t="s">
        <v>2802</v>
      </c>
      <c r="C43" s="862" t="s">
        <v>2444</v>
      </c>
      <c r="D43" s="907" t="s">
        <v>2562</v>
      </c>
      <c r="E43" s="863">
        <v>0</v>
      </c>
      <c r="F43" s="864">
        <v>44354</v>
      </c>
      <c r="G43" s="865" t="s">
        <v>2346</v>
      </c>
      <c r="H43" s="878" t="s">
        <v>3039</v>
      </c>
      <c r="I43" s="867">
        <v>43511</v>
      </c>
      <c r="J43" s="861" t="s">
        <v>3210</v>
      </c>
    </row>
    <row r="44" spans="1:10" s="870" customFormat="1" ht="27.75" customHeight="1" x14ac:dyDescent="0.2">
      <c r="A44" s="868" t="s">
        <v>2150</v>
      </c>
      <c r="B44" s="861" t="s">
        <v>2802</v>
      </c>
      <c r="C44" s="862" t="s">
        <v>2347</v>
      </c>
      <c r="D44" s="907" t="s">
        <v>2339</v>
      </c>
      <c r="E44" s="863">
        <v>0</v>
      </c>
      <c r="F44" s="864">
        <v>44411</v>
      </c>
      <c r="G44" s="865" t="s">
        <v>2563</v>
      </c>
      <c r="H44" s="878" t="s">
        <v>3040</v>
      </c>
      <c r="I44" s="867">
        <v>43444</v>
      </c>
      <c r="J44" s="861" t="s">
        <v>3208</v>
      </c>
    </row>
    <row r="45" spans="1:10" s="870" customFormat="1" ht="24" customHeight="1" x14ac:dyDescent="0.2">
      <c r="A45" s="868" t="s">
        <v>2150</v>
      </c>
      <c r="B45" s="861" t="s">
        <v>2802</v>
      </c>
      <c r="C45" s="862" t="s">
        <v>2446</v>
      </c>
      <c r="D45" s="907" t="s">
        <v>2339</v>
      </c>
      <c r="E45" s="863">
        <v>0</v>
      </c>
      <c r="F45" s="864">
        <v>44262</v>
      </c>
      <c r="G45" s="865" t="s">
        <v>2564</v>
      </c>
      <c r="H45" s="878" t="s">
        <v>3041</v>
      </c>
      <c r="I45" s="867">
        <v>43381</v>
      </c>
      <c r="J45" s="861" t="s">
        <v>3208</v>
      </c>
    </row>
    <row r="46" spans="1:10" s="870" customFormat="1" ht="25.5" x14ac:dyDescent="0.2">
      <c r="A46" s="868" t="s">
        <v>2150</v>
      </c>
      <c r="B46" s="861" t="s">
        <v>2802</v>
      </c>
      <c r="C46" s="862" t="s">
        <v>2349</v>
      </c>
      <c r="D46" s="907" t="s">
        <v>2339</v>
      </c>
      <c r="E46" s="863">
        <v>0</v>
      </c>
      <c r="F46" s="864">
        <v>44422</v>
      </c>
      <c r="G46" s="865" t="s">
        <v>2346</v>
      </c>
      <c r="H46" s="878" t="s">
        <v>3042</v>
      </c>
      <c r="I46" s="867">
        <v>43511</v>
      </c>
      <c r="J46" s="861" t="s">
        <v>3208</v>
      </c>
    </row>
    <row r="47" spans="1:10" s="870" customFormat="1" ht="25.5" customHeight="1" x14ac:dyDescent="0.2">
      <c r="A47" s="868" t="s">
        <v>2150</v>
      </c>
      <c r="B47" s="861" t="s">
        <v>2802</v>
      </c>
      <c r="C47" s="862" t="s">
        <v>2350</v>
      </c>
      <c r="D47" s="907" t="s">
        <v>2339</v>
      </c>
      <c r="E47" s="863">
        <v>0</v>
      </c>
      <c r="F47" s="864">
        <v>44411</v>
      </c>
      <c r="G47" s="865" t="s">
        <v>2348</v>
      </c>
      <c r="H47" s="878" t="s">
        <v>3043</v>
      </c>
      <c r="I47" s="867">
        <v>43500</v>
      </c>
      <c r="J47" s="861" t="s">
        <v>3208</v>
      </c>
    </row>
    <row r="48" spans="1:10" s="870" customFormat="1" x14ac:dyDescent="0.2">
      <c r="A48" s="868" t="s">
        <v>2150</v>
      </c>
      <c r="B48" s="861"/>
      <c r="C48" s="862" t="s">
        <v>2356</v>
      </c>
      <c r="D48" s="907" t="s">
        <v>2339</v>
      </c>
      <c r="E48" s="863">
        <v>0</v>
      </c>
      <c r="F48" s="864">
        <v>44439</v>
      </c>
      <c r="G48" s="865" t="s">
        <v>2357</v>
      </c>
      <c r="H48" s="878" t="s">
        <v>3044</v>
      </c>
      <c r="I48" s="867">
        <v>43525</v>
      </c>
      <c r="J48" s="861" t="s">
        <v>3208</v>
      </c>
    </row>
    <row r="49" spans="1:10" s="880" customFormat="1" ht="25.5" x14ac:dyDescent="0.2">
      <c r="A49" s="872" t="s">
        <v>2358</v>
      </c>
      <c r="B49" s="873" t="s">
        <v>2359</v>
      </c>
      <c r="C49" s="874" t="s">
        <v>2360</v>
      </c>
      <c r="D49" s="908" t="s">
        <v>2361</v>
      </c>
      <c r="E49" s="875">
        <v>20321.759999999998</v>
      </c>
      <c r="F49" s="876">
        <v>44254</v>
      </c>
      <c r="G49" s="877" t="s">
        <v>2673</v>
      </c>
      <c r="H49" s="878" t="s">
        <v>3045</v>
      </c>
      <c r="I49" s="879">
        <v>43524</v>
      </c>
      <c r="J49" s="873" t="s">
        <v>3205</v>
      </c>
    </row>
    <row r="50" spans="1:10" s="870" customFormat="1" ht="25.5" x14ac:dyDescent="0.2">
      <c r="A50" s="868" t="s">
        <v>2364</v>
      </c>
      <c r="B50" s="888" t="s">
        <v>2797</v>
      </c>
      <c r="C50" s="862" t="s">
        <v>2367</v>
      </c>
      <c r="D50" s="907" t="s">
        <v>2773</v>
      </c>
      <c r="E50" s="863">
        <v>175000</v>
      </c>
      <c r="F50" s="864">
        <v>44290</v>
      </c>
      <c r="G50" s="865" t="s">
        <v>2673</v>
      </c>
      <c r="H50" s="878" t="s">
        <v>3046</v>
      </c>
      <c r="I50" s="867">
        <v>43560</v>
      </c>
      <c r="J50" s="861" t="s">
        <v>3211</v>
      </c>
    </row>
    <row r="51" spans="1:10" s="870" customFormat="1" ht="32.25" customHeight="1" x14ac:dyDescent="0.2">
      <c r="A51" s="868" t="s">
        <v>2150</v>
      </c>
      <c r="B51" s="861" t="s">
        <v>2802</v>
      </c>
      <c r="C51" s="862" t="s">
        <v>2368</v>
      </c>
      <c r="D51" s="907" t="s">
        <v>2339</v>
      </c>
      <c r="E51" s="863">
        <v>0</v>
      </c>
      <c r="F51" s="864">
        <v>44479</v>
      </c>
      <c r="G51" s="865" t="s">
        <v>2369</v>
      </c>
      <c r="H51" s="1034" t="s">
        <v>3193</v>
      </c>
      <c r="I51" s="867">
        <v>43566</v>
      </c>
      <c r="J51" s="861" t="s">
        <v>3210</v>
      </c>
    </row>
    <row r="52" spans="1:10" s="870" customFormat="1" ht="21" customHeight="1" x14ac:dyDescent="0.2">
      <c r="A52" s="868" t="s">
        <v>2150</v>
      </c>
      <c r="B52" s="861" t="s">
        <v>2802</v>
      </c>
      <c r="C52" s="862" t="s">
        <v>2370</v>
      </c>
      <c r="D52" s="907" t="s">
        <v>2339</v>
      </c>
      <c r="E52" s="863">
        <v>0</v>
      </c>
      <c r="F52" s="864">
        <v>44472</v>
      </c>
      <c r="G52" s="865" t="s">
        <v>2371</v>
      </c>
      <c r="H52" s="878" t="s">
        <v>3047</v>
      </c>
      <c r="I52" s="867">
        <v>43559</v>
      </c>
      <c r="J52" s="861" t="s">
        <v>3208</v>
      </c>
    </row>
    <row r="53" spans="1:10" s="870" customFormat="1" ht="25.5" x14ac:dyDescent="0.2">
      <c r="A53" s="868" t="s">
        <v>1976</v>
      </c>
      <c r="B53" s="861" t="s">
        <v>1980</v>
      </c>
      <c r="C53" s="862" t="s">
        <v>1547</v>
      </c>
      <c r="D53" s="907" t="s">
        <v>2396</v>
      </c>
      <c r="E53" s="863">
        <v>96460.91</v>
      </c>
      <c r="F53" s="864">
        <v>44340</v>
      </c>
      <c r="G53" s="865" t="s">
        <v>2686</v>
      </c>
      <c r="H53" s="878" t="s">
        <v>1314</v>
      </c>
      <c r="I53" s="867">
        <v>42725</v>
      </c>
      <c r="J53" s="861" t="s">
        <v>3200</v>
      </c>
    </row>
    <row r="54" spans="1:10" s="870" customFormat="1" ht="25.5" x14ac:dyDescent="0.2">
      <c r="A54" s="868" t="s">
        <v>2400</v>
      </c>
      <c r="B54" s="861" t="s">
        <v>2798</v>
      </c>
      <c r="C54" s="862" t="s">
        <v>171</v>
      </c>
      <c r="D54" s="907" t="s">
        <v>1846</v>
      </c>
      <c r="E54" s="863">
        <v>20000</v>
      </c>
      <c r="F54" s="864">
        <v>44220</v>
      </c>
      <c r="G54" s="865" t="s">
        <v>2670</v>
      </c>
      <c r="H54" s="878" t="s">
        <v>3048</v>
      </c>
      <c r="I54" s="867">
        <v>43489</v>
      </c>
      <c r="J54" s="861" t="s">
        <v>3211</v>
      </c>
    </row>
    <row r="55" spans="1:10" s="870" customFormat="1" ht="52.5" customHeight="1" x14ac:dyDescent="0.2">
      <c r="A55" s="868" t="s">
        <v>2684</v>
      </c>
      <c r="B55" s="861" t="s">
        <v>2473</v>
      </c>
      <c r="C55" s="862" t="s">
        <v>212</v>
      </c>
      <c r="D55" s="907" t="s">
        <v>2474</v>
      </c>
      <c r="E55" s="863">
        <v>10909.8</v>
      </c>
      <c r="F55" s="864">
        <v>44337</v>
      </c>
      <c r="G55" s="865" t="s">
        <v>2685</v>
      </c>
      <c r="H55" s="878" t="s">
        <v>726</v>
      </c>
      <c r="I55" s="867">
        <v>43607</v>
      </c>
      <c r="J55" s="861" t="s">
        <v>3200</v>
      </c>
    </row>
    <row r="56" spans="1:10" s="870" customFormat="1" ht="76.5" customHeight="1" x14ac:dyDescent="0.2">
      <c r="A56" s="868" t="s">
        <v>2476</v>
      </c>
      <c r="B56" s="861" t="s">
        <v>2477</v>
      </c>
      <c r="C56" s="862" t="s">
        <v>2478</v>
      </c>
      <c r="D56" s="907" t="s">
        <v>2479</v>
      </c>
      <c r="E56" s="863">
        <v>99011</v>
      </c>
      <c r="F56" s="864">
        <v>44344</v>
      </c>
      <c r="G56" s="865" t="s">
        <v>2697</v>
      </c>
      <c r="H56" s="878" t="s">
        <v>3049</v>
      </c>
      <c r="I56" s="867">
        <v>43614</v>
      </c>
      <c r="J56" s="861" t="s">
        <v>3200</v>
      </c>
    </row>
    <row r="57" spans="1:10" s="870" customFormat="1" ht="25.5" x14ac:dyDescent="0.2">
      <c r="A57" s="868" t="s">
        <v>2481</v>
      </c>
      <c r="B57" s="861" t="s">
        <v>2482</v>
      </c>
      <c r="C57" s="862" t="s">
        <v>2483</v>
      </c>
      <c r="D57" s="907" t="s">
        <v>2484</v>
      </c>
      <c r="E57" s="863">
        <v>31120</v>
      </c>
      <c r="F57" s="864">
        <v>44361</v>
      </c>
      <c r="G57" s="865" t="s">
        <v>2687</v>
      </c>
      <c r="H57" s="878" t="s">
        <v>3050</v>
      </c>
      <c r="I57" s="867">
        <v>43630</v>
      </c>
      <c r="J57" s="861" t="s">
        <v>3211</v>
      </c>
    </row>
    <row r="58" spans="1:10" s="870" customFormat="1" ht="38.25" x14ac:dyDescent="0.2">
      <c r="A58" s="868" t="s">
        <v>2490</v>
      </c>
      <c r="B58" s="861" t="s">
        <v>2491</v>
      </c>
      <c r="C58" s="862" t="s">
        <v>2680</v>
      </c>
      <c r="D58" s="907" t="s">
        <v>2493</v>
      </c>
      <c r="E58" s="863">
        <v>1704070.08</v>
      </c>
      <c r="F58" s="864">
        <v>44421</v>
      </c>
      <c r="G58" s="865" t="s">
        <v>2694</v>
      </c>
      <c r="H58" s="878" t="s">
        <v>733</v>
      </c>
      <c r="I58" s="867">
        <v>43691</v>
      </c>
      <c r="J58" s="861" t="s">
        <v>3203</v>
      </c>
    </row>
    <row r="59" spans="1:10" s="870" customFormat="1" ht="54" customHeight="1" x14ac:dyDescent="0.2">
      <c r="A59" s="868" t="s">
        <v>2494</v>
      </c>
      <c r="B59" s="861" t="s">
        <v>2797</v>
      </c>
      <c r="C59" s="862" t="s">
        <v>62</v>
      </c>
      <c r="D59" s="907" t="s">
        <v>2496</v>
      </c>
      <c r="E59" s="863">
        <v>11760</v>
      </c>
      <c r="F59" s="864">
        <v>44061</v>
      </c>
      <c r="G59" s="865" t="s">
        <v>2497</v>
      </c>
      <c r="H59" s="878" t="s">
        <v>3051</v>
      </c>
      <c r="I59" s="867">
        <v>43696</v>
      </c>
      <c r="J59" s="861" t="s">
        <v>3200</v>
      </c>
    </row>
    <row r="60" spans="1:10" s="870" customFormat="1" ht="54" customHeight="1" x14ac:dyDescent="0.2">
      <c r="A60" s="868" t="s">
        <v>2766</v>
      </c>
      <c r="B60" s="861" t="s">
        <v>2797</v>
      </c>
      <c r="C60" s="862" t="s">
        <v>62</v>
      </c>
      <c r="D60" s="907" t="s">
        <v>2496</v>
      </c>
      <c r="E60" s="863">
        <v>11760</v>
      </c>
      <c r="F60" s="864">
        <v>44476</v>
      </c>
      <c r="G60" s="865" t="s">
        <v>2767</v>
      </c>
      <c r="H60" s="878" t="s">
        <v>3051</v>
      </c>
      <c r="I60" s="867">
        <v>44112</v>
      </c>
      <c r="J60" s="861" t="s">
        <v>3200</v>
      </c>
    </row>
    <row r="61" spans="1:10" s="870" customFormat="1" ht="25.5" x14ac:dyDescent="0.2">
      <c r="A61" s="868" t="s">
        <v>2498</v>
      </c>
      <c r="B61" s="861" t="s">
        <v>2797</v>
      </c>
      <c r="C61" s="862" t="s">
        <v>2501</v>
      </c>
      <c r="D61" s="907" t="s">
        <v>2502</v>
      </c>
      <c r="E61" s="863">
        <v>6930</v>
      </c>
      <c r="F61" s="864">
        <v>44072</v>
      </c>
      <c r="G61" s="865" t="s">
        <v>2503</v>
      </c>
      <c r="H61" s="878" t="s">
        <v>3052</v>
      </c>
      <c r="I61" s="867">
        <v>43707</v>
      </c>
      <c r="J61" s="861" t="s">
        <v>3214</v>
      </c>
    </row>
    <row r="62" spans="1:10" s="870" customFormat="1" ht="38.25" x14ac:dyDescent="0.2">
      <c r="A62" s="868" t="s">
        <v>2504</v>
      </c>
      <c r="B62" s="861" t="s">
        <v>2804</v>
      </c>
      <c r="C62" s="862" t="s">
        <v>2505</v>
      </c>
      <c r="D62" s="907" t="s">
        <v>2506</v>
      </c>
      <c r="E62" s="863">
        <v>9600</v>
      </c>
      <c r="F62" s="864">
        <v>44134</v>
      </c>
      <c r="G62" s="865" t="s">
        <v>2507</v>
      </c>
      <c r="H62" s="878" t="s">
        <v>3053</v>
      </c>
      <c r="I62" s="867">
        <v>43769</v>
      </c>
      <c r="J62" s="861" t="s">
        <v>3204</v>
      </c>
    </row>
    <row r="63" spans="1:10" s="870" customFormat="1" ht="25.5" x14ac:dyDescent="0.2">
      <c r="A63" s="868" t="s">
        <v>2508</v>
      </c>
      <c r="B63" s="861"/>
      <c r="C63" s="862" t="s">
        <v>2509</v>
      </c>
      <c r="D63" s="907" t="s">
        <v>2510</v>
      </c>
      <c r="E63" s="863">
        <v>6351.36</v>
      </c>
      <c r="F63" s="864">
        <v>44153</v>
      </c>
      <c r="G63" s="865" t="s">
        <v>2511</v>
      </c>
      <c r="H63" s="878" t="s">
        <v>3054</v>
      </c>
      <c r="I63" s="867">
        <v>43788</v>
      </c>
      <c r="J63" s="861" t="s">
        <v>3203</v>
      </c>
    </row>
    <row r="64" spans="1:10" s="870" customFormat="1" ht="30.75" customHeight="1" x14ac:dyDescent="0.2">
      <c r="A64" s="868" t="s">
        <v>2512</v>
      </c>
      <c r="B64" s="861" t="s">
        <v>2516</v>
      </c>
      <c r="C64" s="862" t="s">
        <v>2515</v>
      </c>
      <c r="D64" s="907" t="s">
        <v>2517</v>
      </c>
      <c r="E64" s="863">
        <v>264000</v>
      </c>
      <c r="F64" s="864">
        <v>45473</v>
      </c>
      <c r="G64" s="865" t="s">
        <v>2518</v>
      </c>
      <c r="H64" s="878" t="s">
        <v>3055</v>
      </c>
      <c r="I64" s="867">
        <v>43647</v>
      </c>
      <c r="J64" s="861" t="s">
        <v>3204</v>
      </c>
    </row>
    <row r="65" spans="1:10" s="870" customFormat="1" ht="25.5" x14ac:dyDescent="0.2">
      <c r="A65" s="868" t="s">
        <v>2519</v>
      </c>
      <c r="B65" s="861" t="s">
        <v>2513</v>
      </c>
      <c r="C65" s="862" t="s">
        <v>2520</v>
      </c>
      <c r="D65" s="907" t="s">
        <v>2521</v>
      </c>
      <c r="E65" s="863">
        <v>11799.96</v>
      </c>
      <c r="F65" s="864">
        <v>44048</v>
      </c>
      <c r="G65" s="865" t="s">
        <v>2522</v>
      </c>
      <c r="H65" s="878" t="s">
        <v>3056</v>
      </c>
      <c r="I65" s="867">
        <v>43683</v>
      </c>
      <c r="J65" s="861" t="s">
        <v>3204</v>
      </c>
    </row>
    <row r="66" spans="1:10" s="870" customFormat="1" ht="67.5" customHeight="1" x14ac:dyDescent="0.2">
      <c r="A66" s="868" t="s">
        <v>2523</v>
      </c>
      <c r="B66" s="861" t="s">
        <v>2524</v>
      </c>
      <c r="C66" s="862" t="s">
        <v>2525</v>
      </c>
      <c r="D66" s="907" t="s">
        <v>2526</v>
      </c>
      <c r="E66" s="863">
        <v>112593</v>
      </c>
      <c r="F66" s="864">
        <v>45565</v>
      </c>
      <c r="G66" s="865" t="s">
        <v>2527</v>
      </c>
      <c r="H66" s="878" t="s">
        <v>3057</v>
      </c>
      <c r="I66" s="867">
        <v>43739</v>
      </c>
      <c r="J66" s="861" t="s">
        <v>3200</v>
      </c>
    </row>
    <row r="67" spans="1:10" s="870" customFormat="1" ht="63.75" x14ac:dyDescent="0.2">
      <c r="A67" s="868" t="s">
        <v>2579</v>
      </c>
      <c r="B67" s="861" t="s">
        <v>2799</v>
      </c>
      <c r="C67" s="862" t="s">
        <v>2580</v>
      </c>
      <c r="D67" s="907" t="s">
        <v>2585</v>
      </c>
      <c r="E67" s="863">
        <v>0</v>
      </c>
      <c r="F67" s="864">
        <v>44328</v>
      </c>
      <c r="G67" s="865" t="s">
        <v>2581</v>
      </c>
      <c r="H67" s="878" t="s">
        <v>3058</v>
      </c>
      <c r="I67" s="867">
        <v>43964</v>
      </c>
      <c r="J67" s="861" t="s">
        <v>3212</v>
      </c>
    </row>
    <row r="68" spans="1:10" s="870" customFormat="1" ht="63.75" x14ac:dyDescent="0.2">
      <c r="A68" s="868" t="s">
        <v>2579</v>
      </c>
      <c r="B68" s="861" t="s">
        <v>2799</v>
      </c>
      <c r="C68" s="862" t="s">
        <v>2582</v>
      </c>
      <c r="D68" s="907" t="s">
        <v>2585</v>
      </c>
      <c r="E68" s="863">
        <v>0</v>
      </c>
      <c r="F68" s="864">
        <v>44335</v>
      </c>
      <c r="G68" s="865" t="s">
        <v>2583</v>
      </c>
      <c r="H68" s="878" t="s">
        <v>3059</v>
      </c>
      <c r="I68" s="867">
        <v>43971</v>
      </c>
      <c r="J68" s="861" t="s">
        <v>3212</v>
      </c>
    </row>
    <row r="69" spans="1:10" s="870" customFormat="1" ht="63.75" x14ac:dyDescent="0.2">
      <c r="A69" s="868" t="s">
        <v>2579</v>
      </c>
      <c r="B69" s="861" t="s">
        <v>2799</v>
      </c>
      <c r="C69" s="862" t="s">
        <v>2584</v>
      </c>
      <c r="D69" s="907" t="s">
        <v>2585</v>
      </c>
      <c r="E69" s="863">
        <v>0</v>
      </c>
      <c r="F69" s="864">
        <v>44350</v>
      </c>
      <c r="G69" s="865" t="s">
        <v>2589</v>
      </c>
      <c r="H69" s="878" t="s">
        <v>3060</v>
      </c>
      <c r="I69" s="867">
        <v>43986</v>
      </c>
      <c r="J69" s="861" t="s">
        <v>3212</v>
      </c>
    </row>
    <row r="70" spans="1:10" s="870" customFormat="1" ht="38.25" x14ac:dyDescent="0.2">
      <c r="A70" s="868" t="s">
        <v>2586</v>
      </c>
      <c r="B70" s="861" t="s">
        <v>2798</v>
      </c>
      <c r="C70" s="862" t="s">
        <v>2587</v>
      </c>
      <c r="D70" s="907" t="s">
        <v>2588</v>
      </c>
      <c r="E70" s="863">
        <v>45000</v>
      </c>
      <c r="F70" s="864">
        <v>44237</v>
      </c>
      <c r="G70" s="865" t="s">
        <v>2701</v>
      </c>
      <c r="H70" s="878" t="s">
        <v>3061</v>
      </c>
      <c r="I70" s="867">
        <v>43992</v>
      </c>
      <c r="J70" s="861" t="s">
        <v>3200</v>
      </c>
    </row>
    <row r="71" spans="1:10" s="870" customFormat="1" ht="38.25" x14ac:dyDescent="0.2">
      <c r="A71" s="868" t="s">
        <v>2590</v>
      </c>
      <c r="B71" s="861" t="s">
        <v>2596</v>
      </c>
      <c r="C71" s="862" t="s">
        <v>2591</v>
      </c>
      <c r="D71" s="907" t="s">
        <v>2592</v>
      </c>
      <c r="E71" s="863">
        <v>109000</v>
      </c>
      <c r="F71" s="864">
        <v>45739</v>
      </c>
      <c r="G71" s="865" t="s">
        <v>2593</v>
      </c>
      <c r="H71" s="878" t="s">
        <v>3062</v>
      </c>
      <c r="I71" s="867">
        <v>43914</v>
      </c>
      <c r="J71" s="861" t="s">
        <v>3204</v>
      </c>
    </row>
    <row r="72" spans="1:10" s="870" customFormat="1" ht="38.25" x14ac:dyDescent="0.2">
      <c r="A72" s="868" t="s">
        <v>2594</v>
      </c>
      <c r="B72" s="861" t="s">
        <v>2595</v>
      </c>
      <c r="C72" s="862" t="s">
        <v>2068</v>
      </c>
      <c r="D72" s="907" t="s">
        <v>2597</v>
      </c>
      <c r="E72" s="863">
        <v>450000</v>
      </c>
      <c r="F72" s="864">
        <v>45408</v>
      </c>
      <c r="G72" s="865" t="s">
        <v>2598</v>
      </c>
      <c r="H72" s="878" t="s">
        <v>2835</v>
      </c>
      <c r="I72" s="867">
        <v>43948</v>
      </c>
      <c r="J72" s="861" t="s">
        <v>3204</v>
      </c>
    </row>
    <row r="73" spans="1:10" s="870" customFormat="1" ht="25.5" x14ac:dyDescent="0.2">
      <c r="A73" s="868" t="s">
        <v>2599</v>
      </c>
      <c r="B73" s="861" t="s">
        <v>2798</v>
      </c>
      <c r="C73" s="862" t="s">
        <v>2600</v>
      </c>
      <c r="D73" s="907" t="s">
        <v>2601</v>
      </c>
      <c r="E73" s="863">
        <v>32369.59</v>
      </c>
      <c r="F73" s="864">
        <v>45049</v>
      </c>
      <c r="G73" s="865" t="s">
        <v>2602</v>
      </c>
      <c r="H73" s="878" t="s">
        <v>3063</v>
      </c>
      <c r="I73" s="867">
        <v>43955</v>
      </c>
      <c r="J73" s="861" t="s">
        <v>3204</v>
      </c>
    </row>
    <row r="74" spans="1:10" s="870" customFormat="1" ht="25.5" x14ac:dyDescent="0.2">
      <c r="A74" s="868" t="s">
        <v>2603</v>
      </c>
      <c r="B74" s="861" t="s">
        <v>2794</v>
      </c>
      <c r="C74" s="862" t="s">
        <v>2604</v>
      </c>
      <c r="D74" s="907" t="s">
        <v>2669</v>
      </c>
      <c r="E74" s="863">
        <v>0</v>
      </c>
      <c r="F74" s="864">
        <v>44315</v>
      </c>
      <c r="G74" s="865" t="s">
        <v>2668</v>
      </c>
      <c r="H74" s="878" t="s">
        <v>3064</v>
      </c>
      <c r="I74" s="867">
        <v>43951</v>
      </c>
      <c r="J74" s="861" t="s">
        <v>3213</v>
      </c>
    </row>
    <row r="75" spans="1:10" s="870" customFormat="1" ht="25.5" x14ac:dyDescent="0.2">
      <c r="A75" s="868" t="s">
        <v>2603</v>
      </c>
      <c r="B75" s="861" t="s">
        <v>2800</v>
      </c>
      <c r="C75" s="862" t="s">
        <v>2605</v>
      </c>
      <c r="D75" s="907" t="s">
        <v>2669</v>
      </c>
      <c r="E75" s="863">
        <v>0</v>
      </c>
      <c r="F75" s="864">
        <v>44315</v>
      </c>
      <c r="G75" s="865" t="s">
        <v>2668</v>
      </c>
      <c r="H75" s="878" t="s">
        <v>3065</v>
      </c>
      <c r="I75" s="867">
        <v>43951</v>
      </c>
      <c r="J75" s="861" t="s">
        <v>3214</v>
      </c>
    </row>
    <row r="76" spans="1:10" s="870" customFormat="1" ht="25.5" x14ac:dyDescent="0.2">
      <c r="A76" s="868" t="s">
        <v>2603</v>
      </c>
      <c r="B76" s="861" t="s">
        <v>2794</v>
      </c>
      <c r="C76" s="862" t="s">
        <v>2606</v>
      </c>
      <c r="D76" s="907" t="s">
        <v>2669</v>
      </c>
      <c r="E76" s="863">
        <v>0</v>
      </c>
      <c r="F76" s="864">
        <v>44315</v>
      </c>
      <c r="G76" s="865" t="s">
        <v>2668</v>
      </c>
      <c r="H76" s="878" t="s">
        <v>3066</v>
      </c>
      <c r="I76" s="867">
        <v>43951</v>
      </c>
      <c r="J76" s="861" t="s">
        <v>3215</v>
      </c>
    </row>
    <row r="77" spans="1:10" s="870" customFormat="1" ht="25.5" x14ac:dyDescent="0.2">
      <c r="A77" s="868" t="s">
        <v>2603</v>
      </c>
      <c r="B77" s="861" t="s">
        <v>2794</v>
      </c>
      <c r="C77" s="862" t="s">
        <v>2456</v>
      </c>
      <c r="D77" s="907" t="s">
        <v>2669</v>
      </c>
      <c r="E77" s="863">
        <v>0</v>
      </c>
      <c r="F77" s="864">
        <v>44315</v>
      </c>
      <c r="G77" s="865" t="s">
        <v>2668</v>
      </c>
      <c r="H77" s="878" t="s">
        <v>3067</v>
      </c>
      <c r="I77" s="867">
        <v>43951</v>
      </c>
      <c r="J77" s="861" t="s">
        <v>3215</v>
      </c>
    </row>
    <row r="78" spans="1:10" s="870" customFormat="1" ht="25.5" x14ac:dyDescent="0.2">
      <c r="A78" s="868" t="s">
        <v>2603</v>
      </c>
      <c r="B78" s="861" t="s">
        <v>2794</v>
      </c>
      <c r="C78" s="862" t="s">
        <v>2607</v>
      </c>
      <c r="D78" s="907" t="s">
        <v>2669</v>
      </c>
      <c r="E78" s="863">
        <v>0</v>
      </c>
      <c r="F78" s="864">
        <v>44315</v>
      </c>
      <c r="G78" s="865" t="s">
        <v>2668</v>
      </c>
      <c r="H78" s="878" t="s">
        <v>3068</v>
      </c>
      <c r="I78" s="867">
        <v>43951</v>
      </c>
      <c r="J78" s="861" t="s">
        <v>3215</v>
      </c>
    </row>
    <row r="79" spans="1:10" s="870" customFormat="1" ht="25.5" x14ac:dyDescent="0.2">
      <c r="A79" s="868" t="s">
        <v>2603</v>
      </c>
      <c r="B79" s="861" t="s">
        <v>2794</v>
      </c>
      <c r="C79" s="862" t="s">
        <v>2608</v>
      </c>
      <c r="D79" s="907" t="s">
        <v>2669</v>
      </c>
      <c r="E79" s="863">
        <v>0</v>
      </c>
      <c r="F79" s="864">
        <v>44315</v>
      </c>
      <c r="G79" s="865" t="s">
        <v>2668</v>
      </c>
      <c r="H79" s="878" t="s">
        <v>3069</v>
      </c>
      <c r="I79" s="867">
        <v>43951</v>
      </c>
      <c r="J79" s="861" t="s">
        <v>3215</v>
      </c>
    </row>
    <row r="80" spans="1:10" s="870" customFormat="1" ht="25.5" x14ac:dyDescent="0.2">
      <c r="A80" s="868" t="s">
        <v>2603</v>
      </c>
      <c r="B80" s="861" t="s">
        <v>2794</v>
      </c>
      <c r="C80" s="862" t="s">
        <v>2609</v>
      </c>
      <c r="D80" s="907" t="s">
        <v>2669</v>
      </c>
      <c r="E80" s="863">
        <v>0</v>
      </c>
      <c r="F80" s="864">
        <v>44315</v>
      </c>
      <c r="G80" s="865" t="s">
        <v>2668</v>
      </c>
      <c r="H80" s="878" t="s">
        <v>3070</v>
      </c>
      <c r="I80" s="867">
        <v>43951</v>
      </c>
      <c r="J80" s="861" t="s">
        <v>3215</v>
      </c>
    </row>
    <row r="81" spans="1:10" s="870" customFormat="1" ht="25.5" x14ac:dyDescent="0.2">
      <c r="A81" s="868" t="s">
        <v>2603</v>
      </c>
      <c r="B81" s="861" t="s">
        <v>2794</v>
      </c>
      <c r="C81" s="862" t="s">
        <v>2610</v>
      </c>
      <c r="D81" s="907" t="s">
        <v>2669</v>
      </c>
      <c r="E81" s="863">
        <v>0</v>
      </c>
      <c r="F81" s="864">
        <v>44315</v>
      </c>
      <c r="G81" s="865" t="s">
        <v>2668</v>
      </c>
      <c r="H81" s="878" t="s">
        <v>3071</v>
      </c>
      <c r="I81" s="867">
        <v>43951</v>
      </c>
      <c r="J81" s="861" t="s">
        <v>3215</v>
      </c>
    </row>
    <row r="82" spans="1:10" s="870" customFormat="1" ht="25.5" x14ac:dyDescent="0.2">
      <c r="A82" s="868" t="s">
        <v>2603</v>
      </c>
      <c r="B82" s="861" t="s">
        <v>2794</v>
      </c>
      <c r="C82" s="862" t="s">
        <v>2611</v>
      </c>
      <c r="D82" s="907" t="s">
        <v>2669</v>
      </c>
      <c r="E82" s="863">
        <v>0</v>
      </c>
      <c r="F82" s="864">
        <v>44315</v>
      </c>
      <c r="G82" s="865" t="s">
        <v>2668</v>
      </c>
      <c r="H82" s="878" t="s">
        <v>3072</v>
      </c>
      <c r="I82" s="867">
        <v>43951</v>
      </c>
      <c r="J82" s="861" t="s">
        <v>3215</v>
      </c>
    </row>
    <row r="83" spans="1:10" s="870" customFormat="1" ht="25.5" x14ac:dyDescent="0.2">
      <c r="A83" s="868" t="s">
        <v>2603</v>
      </c>
      <c r="B83" s="861" t="s">
        <v>2794</v>
      </c>
      <c r="C83" s="862" t="s">
        <v>2613</v>
      </c>
      <c r="D83" s="907" t="s">
        <v>2669</v>
      </c>
      <c r="E83" s="863">
        <v>0</v>
      </c>
      <c r="F83" s="864">
        <v>44315</v>
      </c>
      <c r="G83" s="865" t="s">
        <v>2668</v>
      </c>
      <c r="H83" s="878" t="s">
        <v>3073</v>
      </c>
      <c r="I83" s="867">
        <v>43951</v>
      </c>
      <c r="J83" s="861" t="s">
        <v>3215</v>
      </c>
    </row>
    <row r="84" spans="1:10" s="870" customFormat="1" ht="25.5" x14ac:dyDescent="0.2">
      <c r="A84" s="868" t="s">
        <v>2603</v>
      </c>
      <c r="B84" s="861" t="s">
        <v>2794</v>
      </c>
      <c r="C84" s="862" t="s">
        <v>2612</v>
      </c>
      <c r="D84" s="907" t="s">
        <v>2669</v>
      </c>
      <c r="E84" s="863">
        <v>0</v>
      </c>
      <c r="F84" s="864">
        <v>44315</v>
      </c>
      <c r="G84" s="865" t="s">
        <v>2668</v>
      </c>
      <c r="H84" s="878" t="s">
        <v>3074</v>
      </c>
      <c r="I84" s="867">
        <v>43951</v>
      </c>
      <c r="J84" s="861" t="s">
        <v>3215</v>
      </c>
    </row>
    <row r="85" spans="1:10" s="870" customFormat="1" ht="25.5" x14ac:dyDescent="0.2">
      <c r="A85" s="868" t="s">
        <v>2603</v>
      </c>
      <c r="B85" s="861" t="s">
        <v>2794</v>
      </c>
      <c r="C85" s="862" t="s">
        <v>2614</v>
      </c>
      <c r="D85" s="907" t="s">
        <v>2669</v>
      </c>
      <c r="E85" s="863">
        <v>0</v>
      </c>
      <c r="F85" s="864">
        <v>44315</v>
      </c>
      <c r="G85" s="865" t="s">
        <v>2668</v>
      </c>
      <c r="H85" s="878" t="s">
        <v>3075</v>
      </c>
      <c r="I85" s="867">
        <v>43951</v>
      </c>
      <c r="J85" s="861" t="s">
        <v>3215</v>
      </c>
    </row>
    <row r="86" spans="1:10" s="870" customFormat="1" ht="25.5" x14ac:dyDescent="0.2">
      <c r="A86" s="868" t="s">
        <v>2603</v>
      </c>
      <c r="B86" s="861" t="s">
        <v>2794</v>
      </c>
      <c r="C86" s="862" t="s">
        <v>2615</v>
      </c>
      <c r="D86" s="907" t="s">
        <v>2669</v>
      </c>
      <c r="E86" s="863">
        <v>0</v>
      </c>
      <c r="F86" s="864">
        <v>44315</v>
      </c>
      <c r="G86" s="865" t="s">
        <v>2668</v>
      </c>
      <c r="H86" s="878" t="s">
        <v>3076</v>
      </c>
      <c r="I86" s="867">
        <v>43951</v>
      </c>
      <c r="J86" s="861" t="s">
        <v>3215</v>
      </c>
    </row>
    <row r="87" spans="1:10" s="870" customFormat="1" ht="25.5" x14ac:dyDescent="0.2">
      <c r="A87" s="868" t="s">
        <v>2603</v>
      </c>
      <c r="B87" s="861" t="s">
        <v>2794</v>
      </c>
      <c r="C87" s="862" t="s">
        <v>1821</v>
      </c>
      <c r="D87" s="907" t="s">
        <v>2669</v>
      </c>
      <c r="E87" s="863">
        <v>0</v>
      </c>
      <c r="F87" s="864">
        <v>44315</v>
      </c>
      <c r="G87" s="865" t="s">
        <v>2668</v>
      </c>
      <c r="H87" s="878" t="s">
        <v>3077</v>
      </c>
      <c r="I87" s="867">
        <v>43951</v>
      </c>
      <c r="J87" s="861" t="s">
        <v>3215</v>
      </c>
    </row>
    <row r="88" spans="1:10" s="870" customFormat="1" ht="25.5" x14ac:dyDescent="0.2">
      <c r="A88" s="868" t="s">
        <v>2603</v>
      </c>
      <c r="B88" s="861" t="s">
        <v>2794</v>
      </c>
      <c r="C88" s="862" t="s">
        <v>2616</v>
      </c>
      <c r="D88" s="907" t="s">
        <v>2669</v>
      </c>
      <c r="E88" s="863">
        <v>0</v>
      </c>
      <c r="F88" s="864">
        <v>44315</v>
      </c>
      <c r="G88" s="865" t="s">
        <v>2668</v>
      </c>
      <c r="H88" s="878" t="s">
        <v>3078</v>
      </c>
      <c r="I88" s="867">
        <v>43951</v>
      </c>
      <c r="J88" s="861" t="s">
        <v>3215</v>
      </c>
    </row>
    <row r="89" spans="1:10" s="870" customFormat="1" ht="25.5" x14ac:dyDescent="0.2">
      <c r="A89" s="868" t="s">
        <v>2603</v>
      </c>
      <c r="B89" s="861" t="s">
        <v>2794</v>
      </c>
      <c r="C89" s="862" t="s">
        <v>2617</v>
      </c>
      <c r="D89" s="907" t="s">
        <v>2669</v>
      </c>
      <c r="E89" s="863">
        <v>0</v>
      </c>
      <c r="F89" s="864">
        <v>44315</v>
      </c>
      <c r="G89" s="865" t="s">
        <v>2668</v>
      </c>
      <c r="H89" s="878" t="s">
        <v>3079</v>
      </c>
      <c r="I89" s="867">
        <v>43951</v>
      </c>
      <c r="J89" s="861" t="s">
        <v>3215</v>
      </c>
    </row>
    <row r="90" spans="1:10" s="870" customFormat="1" ht="25.5" x14ac:dyDescent="0.2">
      <c r="A90" s="868" t="s">
        <v>2603</v>
      </c>
      <c r="B90" s="861" t="s">
        <v>2794</v>
      </c>
      <c r="C90" s="862" t="s">
        <v>2618</v>
      </c>
      <c r="D90" s="907" t="s">
        <v>2669</v>
      </c>
      <c r="E90" s="863">
        <v>0</v>
      </c>
      <c r="F90" s="864">
        <v>44315</v>
      </c>
      <c r="G90" s="865" t="s">
        <v>2668</v>
      </c>
      <c r="H90" s="878" t="s">
        <v>3192</v>
      </c>
      <c r="I90" s="867">
        <v>43951</v>
      </c>
      <c r="J90" s="861" t="s">
        <v>3215</v>
      </c>
    </row>
    <row r="91" spans="1:10" s="870" customFormat="1" ht="25.5" x14ac:dyDescent="0.2">
      <c r="A91" s="868" t="s">
        <v>2603</v>
      </c>
      <c r="B91" s="861" t="s">
        <v>2794</v>
      </c>
      <c r="C91" s="862" t="s">
        <v>2619</v>
      </c>
      <c r="D91" s="907" t="s">
        <v>2669</v>
      </c>
      <c r="E91" s="863">
        <v>0</v>
      </c>
      <c r="F91" s="864">
        <v>44315</v>
      </c>
      <c r="G91" s="865" t="s">
        <v>2668</v>
      </c>
      <c r="H91" s="878" t="s">
        <v>3080</v>
      </c>
      <c r="I91" s="867">
        <v>43951</v>
      </c>
      <c r="J91" s="861" t="s">
        <v>3215</v>
      </c>
    </row>
    <row r="92" spans="1:10" s="870" customFormat="1" ht="25.5" x14ac:dyDescent="0.2">
      <c r="A92" s="868" t="s">
        <v>2603</v>
      </c>
      <c r="B92" s="861" t="s">
        <v>2794</v>
      </c>
      <c r="C92" s="862" t="s">
        <v>2620</v>
      </c>
      <c r="D92" s="907" t="s">
        <v>2669</v>
      </c>
      <c r="E92" s="863">
        <v>0</v>
      </c>
      <c r="F92" s="864">
        <v>44315</v>
      </c>
      <c r="G92" s="865" t="s">
        <v>2668</v>
      </c>
      <c r="H92" s="878" t="s">
        <v>3081</v>
      </c>
      <c r="I92" s="867">
        <v>43951</v>
      </c>
      <c r="J92" s="861" t="s">
        <v>3215</v>
      </c>
    </row>
    <row r="93" spans="1:10" s="870" customFormat="1" ht="25.5" x14ac:dyDescent="0.2">
      <c r="A93" s="868" t="s">
        <v>2603</v>
      </c>
      <c r="B93" s="861" t="s">
        <v>2794</v>
      </c>
      <c r="C93" s="862" t="s">
        <v>2621</v>
      </c>
      <c r="D93" s="907" t="s">
        <v>2669</v>
      </c>
      <c r="E93" s="863">
        <v>0</v>
      </c>
      <c r="F93" s="864">
        <v>44315</v>
      </c>
      <c r="G93" s="865" t="s">
        <v>2668</v>
      </c>
      <c r="H93" s="878" t="s">
        <v>3082</v>
      </c>
      <c r="I93" s="867">
        <v>43951</v>
      </c>
      <c r="J93" s="861" t="s">
        <v>3215</v>
      </c>
    </row>
    <row r="94" spans="1:10" s="870" customFormat="1" ht="25.5" x14ac:dyDescent="0.2">
      <c r="A94" s="868" t="s">
        <v>2603</v>
      </c>
      <c r="B94" s="861" t="s">
        <v>2794</v>
      </c>
      <c r="C94" s="862" t="s">
        <v>2622</v>
      </c>
      <c r="D94" s="907" t="s">
        <v>2669</v>
      </c>
      <c r="E94" s="863">
        <v>0</v>
      </c>
      <c r="F94" s="864">
        <v>44315</v>
      </c>
      <c r="G94" s="865" t="s">
        <v>2668</v>
      </c>
      <c r="H94" s="878" t="s">
        <v>3083</v>
      </c>
      <c r="I94" s="867">
        <v>43951</v>
      </c>
      <c r="J94" s="861" t="s">
        <v>3215</v>
      </c>
    </row>
    <row r="95" spans="1:10" s="870" customFormat="1" ht="25.5" x14ac:dyDescent="0.2">
      <c r="A95" s="868" t="s">
        <v>2603</v>
      </c>
      <c r="B95" s="861" t="s">
        <v>2794</v>
      </c>
      <c r="C95" s="862" t="s">
        <v>2623</v>
      </c>
      <c r="D95" s="907" t="s">
        <v>2669</v>
      </c>
      <c r="E95" s="863">
        <v>0</v>
      </c>
      <c r="F95" s="864">
        <v>44315</v>
      </c>
      <c r="G95" s="865" t="s">
        <v>2668</v>
      </c>
      <c r="H95" s="878" t="s">
        <v>3084</v>
      </c>
      <c r="I95" s="867">
        <v>43951</v>
      </c>
      <c r="J95" s="861" t="s">
        <v>3215</v>
      </c>
    </row>
    <row r="96" spans="1:10" s="870" customFormat="1" ht="25.5" x14ac:dyDescent="0.2">
      <c r="A96" s="868" t="s">
        <v>2603</v>
      </c>
      <c r="B96" s="861" t="s">
        <v>2794</v>
      </c>
      <c r="C96" s="862" t="s">
        <v>2624</v>
      </c>
      <c r="D96" s="907" t="s">
        <v>2669</v>
      </c>
      <c r="E96" s="863">
        <v>0</v>
      </c>
      <c r="F96" s="864">
        <v>44315</v>
      </c>
      <c r="G96" s="865" t="s">
        <v>2668</v>
      </c>
      <c r="H96" s="878" t="s">
        <v>3085</v>
      </c>
      <c r="I96" s="867">
        <v>43951</v>
      </c>
      <c r="J96" s="861" t="s">
        <v>3215</v>
      </c>
    </row>
    <row r="97" spans="1:10" s="870" customFormat="1" ht="25.5" x14ac:dyDescent="0.2">
      <c r="A97" s="868" t="s">
        <v>2603</v>
      </c>
      <c r="B97" s="861" t="s">
        <v>2794</v>
      </c>
      <c r="C97" s="862" t="s">
        <v>2625</v>
      </c>
      <c r="D97" s="907" t="s">
        <v>2669</v>
      </c>
      <c r="E97" s="863">
        <v>0</v>
      </c>
      <c r="F97" s="864">
        <v>44315</v>
      </c>
      <c r="G97" s="865" t="s">
        <v>2668</v>
      </c>
      <c r="H97" s="878" t="s">
        <v>3086</v>
      </c>
      <c r="I97" s="867">
        <v>43951</v>
      </c>
      <c r="J97" s="861" t="s">
        <v>3215</v>
      </c>
    </row>
    <row r="98" spans="1:10" s="870" customFormat="1" ht="25.5" x14ac:dyDescent="0.2">
      <c r="A98" s="868" t="s">
        <v>2603</v>
      </c>
      <c r="B98" s="861" t="s">
        <v>2794</v>
      </c>
      <c r="C98" s="862" t="s">
        <v>2626</v>
      </c>
      <c r="D98" s="907" t="s">
        <v>2669</v>
      </c>
      <c r="E98" s="863">
        <v>0</v>
      </c>
      <c r="F98" s="864">
        <v>44315</v>
      </c>
      <c r="G98" s="865" t="s">
        <v>2668</v>
      </c>
      <c r="H98" s="878" t="s">
        <v>3087</v>
      </c>
      <c r="I98" s="867">
        <v>43951</v>
      </c>
      <c r="J98" s="861" t="s">
        <v>3215</v>
      </c>
    </row>
    <row r="99" spans="1:10" s="870" customFormat="1" ht="25.5" x14ac:dyDescent="0.2">
      <c r="A99" s="868" t="s">
        <v>2603</v>
      </c>
      <c r="B99" s="861" t="s">
        <v>2794</v>
      </c>
      <c r="C99" s="862" t="s">
        <v>2627</v>
      </c>
      <c r="D99" s="907" t="s">
        <v>2669</v>
      </c>
      <c r="E99" s="863">
        <v>0</v>
      </c>
      <c r="F99" s="864">
        <v>44315</v>
      </c>
      <c r="G99" s="865" t="s">
        <v>2668</v>
      </c>
      <c r="H99" s="878" t="s">
        <v>3088</v>
      </c>
      <c r="I99" s="867">
        <v>43951</v>
      </c>
      <c r="J99" s="861" t="s">
        <v>3215</v>
      </c>
    </row>
    <row r="100" spans="1:10" s="870" customFormat="1" ht="25.5" x14ac:dyDescent="0.2">
      <c r="A100" s="868" t="s">
        <v>2603</v>
      </c>
      <c r="B100" s="861" t="s">
        <v>2794</v>
      </c>
      <c r="C100" s="862" t="s">
        <v>2628</v>
      </c>
      <c r="D100" s="907" t="s">
        <v>2669</v>
      </c>
      <c r="E100" s="863">
        <v>0</v>
      </c>
      <c r="F100" s="864">
        <v>44315</v>
      </c>
      <c r="G100" s="865" t="s">
        <v>2668</v>
      </c>
      <c r="H100" s="878" t="s">
        <v>3089</v>
      </c>
      <c r="I100" s="867">
        <v>43951</v>
      </c>
      <c r="J100" s="861" t="s">
        <v>3215</v>
      </c>
    </row>
    <row r="101" spans="1:10" s="870" customFormat="1" ht="25.5" x14ac:dyDescent="0.2">
      <c r="A101" s="868" t="s">
        <v>2603</v>
      </c>
      <c r="B101" s="861" t="s">
        <v>2794</v>
      </c>
      <c r="C101" s="862" t="s">
        <v>2163</v>
      </c>
      <c r="D101" s="907" t="s">
        <v>2669</v>
      </c>
      <c r="E101" s="863">
        <v>0</v>
      </c>
      <c r="F101" s="864">
        <v>44315</v>
      </c>
      <c r="G101" s="865" t="s">
        <v>2668</v>
      </c>
      <c r="H101" s="878" t="s">
        <v>3090</v>
      </c>
      <c r="I101" s="867">
        <v>43951</v>
      </c>
      <c r="J101" s="861" t="s">
        <v>3215</v>
      </c>
    </row>
    <row r="102" spans="1:10" s="870" customFormat="1" ht="25.5" x14ac:dyDescent="0.2">
      <c r="A102" s="868" t="s">
        <v>2603</v>
      </c>
      <c r="B102" s="861" t="s">
        <v>2794</v>
      </c>
      <c r="C102" s="862" t="s">
        <v>2629</v>
      </c>
      <c r="D102" s="907" t="s">
        <v>2669</v>
      </c>
      <c r="E102" s="863">
        <v>0</v>
      </c>
      <c r="F102" s="864">
        <v>44315</v>
      </c>
      <c r="G102" s="865" t="s">
        <v>2668</v>
      </c>
      <c r="H102" s="878" t="s">
        <v>3091</v>
      </c>
      <c r="I102" s="867">
        <v>43951</v>
      </c>
      <c r="J102" s="861" t="s">
        <v>3215</v>
      </c>
    </row>
    <row r="103" spans="1:10" s="870" customFormat="1" ht="25.5" x14ac:dyDescent="0.2">
      <c r="A103" s="868" t="s">
        <v>2603</v>
      </c>
      <c r="B103" s="861" t="s">
        <v>2794</v>
      </c>
      <c r="C103" s="862" t="s">
        <v>2630</v>
      </c>
      <c r="D103" s="907" t="s">
        <v>2669</v>
      </c>
      <c r="E103" s="863">
        <v>0</v>
      </c>
      <c r="F103" s="864">
        <v>44315</v>
      </c>
      <c r="G103" s="865" t="s">
        <v>2668</v>
      </c>
      <c r="H103" s="878" t="s">
        <v>3092</v>
      </c>
      <c r="I103" s="867">
        <v>43951</v>
      </c>
      <c r="J103" s="861" t="s">
        <v>3215</v>
      </c>
    </row>
    <row r="104" spans="1:10" s="870" customFormat="1" ht="25.5" x14ac:dyDescent="0.2">
      <c r="A104" s="868" t="s">
        <v>2603</v>
      </c>
      <c r="B104" s="861" t="s">
        <v>2794</v>
      </c>
      <c r="C104" s="862" t="s">
        <v>2631</v>
      </c>
      <c r="D104" s="907" t="s">
        <v>2669</v>
      </c>
      <c r="E104" s="863">
        <v>0</v>
      </c>
      <c r="F104" s="864">
        <v>44315</v>
      </c>
      <c r="G104" s="865" t="s">
        <v>2668</v>
      </c>
      <c r="H104" s="878" t="s">
        <v>3093</v>
      </c>
      <c r="I104" s="867">
        <v>43951</v>
      </c>
      <c r="J104" s="861" t="s">
        <v>3215</v>
      </c>
    </row>
    <row r="105" spans="1:10" s="870" customFormat="1" ht="25.5" x14ac:dyDescent="0.2">
      <c r="A105" s="868" t="s">
        <v>2603</v>
      </c>
      <c r="B105" s="861" t="s">
        <v>2794</v>
      </c>
      <c r="C105" s="862" t="s">
        <v>2632</v>
      </c>
      <c r="D105" s="907" t="s">
        <v>2669</v>
      </c>
      <c r="E105" s="863">
        <v>0</v>
      </c>
      <c r="F105" s="864">
        <v>44315</v>
      </c>
      <c r="G105" s="865" t="s">
        <v>2668</v>
      </c>
      <c r="H105" s="878" t="s">
        <v>3094</v>
      </c>
      <c r="I105" s="867">
        <v>43951</v>
      </c>
      <c r="J105" s="861" t="s">
        <v>3215</v>
      </c>
    </row>
    <row r="106" spans="1:10" s="870" customFormat="1" ht="25.5" x14ac:dyDescent="0.2">
      <c r="A106" s="868" t="s">
        <v>2603</v>
      </c>
      <c r="B106" s="861" t="s">
        <v>2794</v>
      </c>
      <c r="C106" s="862" t="s">
        <v>2633</v>
      </c>
      <c r="D106" s="907" t="s">
        <v>2669</v>
      </c>
      <c r="E106" s="863">
        <v>0</v>
      </c>
      <c r="F106" s="864">
        <v>44315</v>
      </c>
      <c r="G106" s="865" t="s">
        <v>2668</v>
      </c>
      <c r="H106" s="878" t="s">
        <v>3095</v>
      </c>
      <c r="I106" s="867">
        <v>43951</v>
      </c>
      <c r="J106" s="861" t="s">
        <v>3215</v>
      </c>
    </row>
    <row r="107" spans="1:10" s="870" customFormat="1" ht="25.5" x14ac:dyDescent="0.2">
      <c r="A107" s="868" t="s">
        <v>2603</v>
      </c>
      <c r="B107" s="861" t="s">
        <v>2794</v>
      </c>
      <c r="C107" s="862" t="s">
        <v>2178</v>
      </c>
      <c r="D107" s="907" t="s">
        <v>2669</v>
      </c>
      <c r="E107" s="863">
        <v>0</v>
      </c>
      <c r="F107" s="864">
        <v>44315</v>
      </c>
      <c r="G107" s="865" t="s">
        <v>2668</v>
      </c>
      <c r="H107" s="878" t="s">
        <v>3096</v>
      </c>
      <c r="I107" s="867">
        <v>43951</v>
      </c>
      <c r="J107" s="861" t="s">
        <v>3215</v>
      </c>
    </row>
    <row r="108" spans="1:10" s="870" customFormat="1" ht="25.5" x14ac:dyDescent="0.2">
      <c r="A108" s="868" t="s">
        <v>2603</v>
      </c>
      <c r="B108" s="861" t="s">
        <v>2794</v>
      </c>
      <c r="C108" s="862" t="s">
        <v>2634</v>
      </c>
      <c r="D108" s="907" t="s">
        <v>2669</v>
      </c>
      <c r="E108" s="863">
        <v>0</v>
      </c>
      <c r="F108" s="864">
        <v>44315</v>
      </c>
      <c r="G108" s="865" t="s">
        <v>2668</v>
      </c>
      <c r="H108" s="878" t="s">
        <v>3097</v>
      </c>
      <c r="I108" s="867">
        <v>43951</v>
      </c>
      <c r="J108" s="861" t="s">
        <v>3215</v>
      </c>
    </row>
    <row r="109" spans="1:10" s="870" customFormat="1" ht="25.5" x14ac:dyDescent="0.2">
      <c r="A109" s="868" t="s">
        <v>2603</v>
      </c>
      <c r="B109" s="861" t="s">
        <v>2794</v>
      </c>
      <c r="C109" s="862" t="s">
        <v>2635</v>
      </c>
      <c r="D109" s="907" t="s">
        <v>2669</v>
      </c>
      <c r="E109" s="863">
        <v>0</v>
      </c>
      <c r="F109" s="864">
        <v>44315</v>
      </c>
      <c r="G109" s="865" t="s">
        <v>2668</v>
      </c>
      <c r="H109" s="878" t="s">
        <v>3098</v>
      </c>
      <c r="I109" s="867">
        <v>43951</v>
      </c>
      <c r="J109" s="861" t="s">
        <v>3215</v>
      </c>
    </row>
    <row r="110" spans="1:10" s="870" customFormat="1" ht="25.5" x14ac:dyDescent="0.2">
      <c r="A110" s="868" t="s">
        <v>2603</v>
      </c>
      <c r="B110" s="861" t="s">
        <v>2794</v>
      </c>
      <c r="C110" s="862" t="s">
        <v>2636</v>
      </c>
      <c r="D110" s="907" t="s">
        <v>2669</v>
      </c>
      <c r="E110" s="863">
        <v>0</v>
      </c>
      <c r="F110" s="864">
        <v>44315</v>
      </c>
      <c r="G110" s="865" t="s">
        <v>2668</v>
      </c>
      <c r="H110" s="878" t="s">
        <v>3099</v>
      </c>
      <c r="I110" s="867">
        <v>43951</v>
      </c>
      <c r="J110" s="861" t="s">
        <v>3215</v>
      </c>
    </row>
    <row r="111" spans="1:10" s="870" customFormat="1" ht="25.5" x14ac:dyDescent="0.2">
      <c r="A111" s="868" t="s">
        <v>2603</v>
      </c>
      <c r="B111" s="861" t="s">
        <v>2794</v>
      </c>
      <c r="C111" s="862" t="s">
        <v>2637</v>
      </c>
      <c r="D111" s="907" t="s">
        <v>2669</v>
      </c>
      <c r="E111" s="863">
        <v>0</v>
      </c>
      <c r="F111" s="864">
        <v>44315</v>
      </c>
      <c r="G111" s="865" t="s">
        <v>2668</v>
      </c>
      <c r="H111" s="878" t="s">
        <v>3100</v>
      </c>
      <c r="I111" s="867">
        <v>43951</v>
      </c>
      <c r="J111" s="861" t="s">
        <v>3215</v>
      </c>
    </row>
    <row r="112" spans="1:10" s="870" customFormat="1" ht="25.5" x14ac:dyDescent="0.2">
      <c r="A112" s="868" t="s">
        <v>2603</v>
      </c>
      <c r="B112" s="861" t="s">
        <v>2794</v>
      </c>
      <c r="C112" s="862" t="s">
        <v>2638</v>
      </c>
      <c r="D112" s="907" t="s">
        <v>2669</v>
      </c>
      <c r="E112" s="863">
        <v>0</v>
      </c>
      <c r="F112" s="864">
        <v>44315</v>
      </c>
      <c r="G112" s="865" t="s">
        <v>2668</v>
      </c>
      <c r="H112" s="878" t="s">
        <v>3101</v>
      </c>
      <c r="I112" s="867">
        <v>43951</v>
      </c>
      <c r="J112" s="861" t="s">
        <v>3215</v>
      </c>
    </row>
    <row r="113" spans="1:10" s="870" customFormat="1" ht="25.5" x14ac:dyDescent="0.2">
      <c r="A113" s="868" t="s">
        <v>2603</v>
      </c>
      <c r="B113" s="861" t="s">
        <v>2794</v>
      </c>
      <c r="C113" s="862" t="s">
        <v>1852</v>
      </c>
      <c r="D113" s="907" t="s">
        <v>2669</v>
      </c>
      <c r="E113" s="863">
        <v>0</v>
      </c>
      <c r="F113" s="864">
        <v>44315</v>
      </c>
      <c r="G113" s="865" t="s">
        <v>2668</v>
      </c>
      <c r="H113" s="878" t="s">
        <v>3102</v>
      </c>
      <c r="I113" s="867">
        <v>43951</v>
      </c>
      <c r="J113" s="861" t="s">
        <v>3215</v>
      </c>
    </row>
    <row r="114" spans="1:10" s="870" customFormat="1" ht="25.5" x14ac:dyDescent="0.2">
      <c r="A114" s="868" t="s">
        <v>2603</v>
      </c>
      <c r="B114" s="861" t="s">
        <v>2794</v>
      </c>
      <c r="C114" s="862" t="s">
        <v>2639</v>
      </c>
      <c r="D114" s="907" t="s">
        <v>2669</v>
      </c>
      <c r="E114" s="863">
        <v>0</v>
      </c>
      <c r="F114" s="864">
        <v>44315</v>
      </c>
      <c r="G114" s="865" t="s">
        <v>2668</v>
      </c>
      <c r="H114" s="878" t="s">
        <v>3103</v>
      </c>
      <c r="I114" s="867">
        <v>43951</v>
      </c>
      <c r="J114" s="861" t="s">
        <v>3215</v>
      </c>
    </row>
    <row r="115" spans="1:10" s="870" customFormat="1" ht="25.5" x14ac:dyDescent="0.2">
      <c r="A115" s="868" t="s">
        <v>2603</v>
      </c>
      <c r="B115" s="861" t="s">
        <v>2794</v>
      </c>
      <c r="C115" s="862" t="s">
        <v>2640</v>
      </c>
      <c r="D115" s="907" t="s">
        <v>2669</v>
      </c>
      <c r="E115" s="863">
        <v>0</v>
      </c>
      <c r="F115" s="864">
        <v>44315</v>
      </c>
      <c r="G115" s="865" t="s">
        <v>2668</v>
      </c>
      <c r="H115" s="878" t="s">
        <v>3091</v>
      </c>
      <c r="I115" s="867">
        <v>43951</v>
      </c>
      <c r="J115" s="861" t="s">
        <v>3215</v>
      </c>
    </row>
    <row r="116" spans="1:10" s="870" customFormat="1" ht="25.5" x14ac:dyDescent="0.2">
      <c r="A116" s="868" t="s">
        <v>2603</v>
      </c>
      <c r="B116" s="861" t="s">
        <v>2794</v>
      </c>
      <c r="C116" s="862" t="s">
        <v>2641</v>
      </c>
      <c r="D116" s="907" t="s">
        <v>2669</v>
      </c>
      <c r="E116" s="863">
        <v>0</v>
      </c>
      <c r="F116" s="864">
        <v>44315</v>
      </c>
      <c r="G116" s="865" t="s">
        <v>2668</v>
      </c>
      <c r="H116" s="878" t="s">
        <v>3104</v>
      </c>
      <c r="I116" s="867">
        <v>43951</v>
      </c>
      <c r="J116" s="861" t="s">
        <v>3215</v>
      </c>
    </row>
    <row r="117" spans="1:10" s="870" customFormat="1" ht="25.5" x14ac:dyDescent="0.2">
      <c r="A117" s="868" t="s">
        <v>2603</v>
      </c>
      <c r="B117" s="861" t="s">
        <v>2794</v>
      </c>
      <c r="C117" s="862" t="s">
        <v>2642</v>
      </c>
      <c r="D117" s="907" t="s">
        <v>2669</v>
      </c>
      <c r="E117" s="863">
        <v>0</v>
      </c>
      <c r="F117" s="864">
        <v>44315</v>
      </c>
      <c r="G117" s="865" t="s">
        <v>2668</v>
      </c>
      <c r="H117" s="878" t="s">
        <v>3105</v>
      </c>
      <c r="I117" s="867">
        <v>43951</v>
      </c>
      <c r="J117" s="861" t="s">
        <v>3215</v>
      </c>
    </row>
    <row r="118" spans="1:10" s="870" customFormat="1" ht="25.5" x14ac:dyDescent="0.2">
      <c r="A118" s="868" t="s">
        <v>2603</v>
      </c>
      <c r="B118" s="861" t="s">
        <v>2794</v>
      </c>
      <c r="C118" s="862" t="s">
        <v>2643</v>
      </c>
      <c r="D118" s="907" t="s">
        <v>2669</v>
      </c>
      <c r="E118" s="863">
        <v>0</v>
      </c>
      <c r="F118" s="864">
        <v>44315</v>
      </c>
      <c r="G118" s="865" t="s">
        <v>2668</v>
      </c>
      <c r="H118" s="878" t="s">
        <v>3106</v>
      </c>
      <c r="I118" s="867">
        <v>43951</v>
      </c>
      <c r="J118" s="861" t="s">
        <v>3215</v>
      </c>
    </row>
    <row r="119" spans="1:10" s="870" customFormat="1" ht="25.5" x14ac:dyDescent="0.2">
      <c r="A119" s="868" t="s">
        <v>2603</v>
      </c>
      <c r="B119" s="861" t="s">
        <v>2794</v>
      </c>
      <c r="C119" s="862" t="s">
        <v>2644</v>
      </c>
      <c r="D119" s="907" t="s">
        <v>2669</v>
      </c>
      <c r="E119" s="863">
        <v>0</v>
      </c>
      <c r="F119" s="864">
        <v>44315</v>
      </c>
      <c r="G119" s="865" t="s">
        <v>2668</v>
      </c>
      <c r="H119" s="878" t="s">
        <v>3107</v>
      </c>
      <c r="I119" s="867">
        <v>43951</v>
      </c>
      <c r="J119" s="861" t="s">
        <v>3215</v>
      </c>
    </row>
    <row r="120" spans="1:10" s="870" customFormat="1" ht="25.5" x14ac:dyDescent="0.2">
      <c r="A120" s="868" t="s">
        <v>2603</v>
      </c>
      <c r="B120" s="861" t="s">
        <v>2794</v>
      </c>
      <c r="C120" s="862" t="s">
        <v>2645</v>
      </c>
      <c r="D120" s="907" t="s">
        <v>2669</v>
      </c>
      <c r="E120" s="863">
        <v>0</v>
      </c>
      <c r="F120" s="864">
        <v>44315</v>
      </c>
      <c r="G120" s="865" t="s">
        <v>2668</v>
      </c>
      <c r="H120" s="878" t="s">
        <v>3108</v>
      </c>
      <c r="I120" s="867">
        <v>43951</v>
      </c>
      <c r="J120" s="861" t="s">
        <v>3215</v>
      </c>
    </row>
    <row r="121" spans="1:10" s="870" customFormat="1" ht="25.5" x14ac:dyDescent="0.2">
      <c r="A121" s="868" t="s">
        <v>2603</v>
      </c>
      <c r="B121" s="861" t="s">
        <v>2794</v>
      </c>
      <c r="C121" s="862" t="s">
        <v>2646</v>
      </c>
      <c r="D121" s="907" t="s">
        <v>2669</v>
      </c>
      <c r="E121" s="863">
        <v>0</v>
      </c>
      <c r="F121" s="864">
        <v>44315</v>
      </c>
      <c r="G121" s="865" t="s">
        <v>2668</v>
      </c>
      <c r="H121" s="878" t="s">
        <v>3109</v>
      </c>
      <c r="I121" s="867">
        <v>43951</v>
      </c>
      <c r="J121" s="861" t="s">
        <v>3215</v>
      </c>
    </row>
    <row r="122" spans="1:10" s="870" customFormat="1" ht="25.5" x14ac:dyDescent="0.2">
      <c r="A122" s="868" t="s">
        <v>2603</v>
      </c>
      <c r="B122" s="861" t="s">
        <v>2794</v>
      </c>
      <c r="C122" s="862" t="s">
        <v>2647</v>
      </c>
      <c r="D122" s="907" t="s">
        <v>2669</v>
      </c>
      <c r="E122" s="863">
        <v>0</v>
      </c>
      <c r="F122" s="864">
        <v>44315</v>
      </c>
      <c r="G122" s="865" t="s">
        <v>2668</v>
      </c>
      <c r="H122" s="878" t="s">
        <v>3110</v>
      </c>
      <c r="I122" s="867">
        <v>43951</v>
      </c>
      <c r="J122" s="861" t="s">
        <v>3215</v>
      </c>
    </row>
    <row r="123" spans="1:10" s="870" customFormat="1" ht="25.5" x14ac:dyDescent="0.2">
      <c r="A123" s="868" t="s">
        <v>2603</v>
      </c>
      <c r="B123" s="861" t="s">
        <v>2794</v>
      </c>
      <c r="C123" s="862" t="s">
        <v>2648</v>
      </c>
      <c r="D123" s="907" t="s">
        <v>2669</v>
      </c>
      <c r="E123" s="863">
        <v>0</v>
      </c>
      <c r="F123" s="864">
        <v>44315</v>
      </c>
      <c r="G123" s="865" t="s">
        <v>2668</v>
      </c>
      <c r="H123" s="878" t="s">
        <v>3111</v>
      </c>
      <c r="I123" s="867">
        <v>43951</v>
      </c>
      <c r="J123" s="861" t="s">
        <v>3215</v>
      </c>
    </row>
    <row r="124" spans="1:10" s="870" customFormat="1" ht="25.5" x14ac:dyDescent="0.2">
      <c r="A124" s="868" t="s">
        <v>2603</v>
      </c>
      <c r="B124" s="861" t="s">
        <v>2794</v>
      </c>
      <c r="C124" s="862" t="s">
        <v>2649</v>
      </c>
      <c r="D124" s="907" t="s">
        <v>2669</v>
      </c>
      <c r="E124" s="863">
        <v>0</v>
      </c>
      <c r="F124" s="864">
        <v>44315</v>
      </c>
      <c r="G124" s="865" t="s">
        <v>2668</v>
      </c>
      <c r="H124" s="878" t="s">
        <v>3112</v>
      </c>
      <c r="I124" s="867">
        <v>43951</v>
      </c>
      <c r="J124" s="861" t="s">
        <v>3215</v>
      </c>
    </row>
    <row r="125" spans="1:10" s="870" customFormat="1" ht="25.5" x14ac:dyDescent="0.2">
      <c r="A125" s="868" t="s">
        <v>2603</v>
      </c>
      <c r="B125" s="861" t="s">
        <v>2794</v>
      </c>
      <c r="C125" s="862" t="s">
        <v>2650</v>
      </c>
      <c r="D125" s="907" t="s">
        <v>2669</v>
      </c>
      <c r="E125" s="863">
        <v>0</v>
      </c>
      <c r="F125" s="864">
        <v>44315</v>
      </c>
      <c r="G125" s="865" t="s">
        <v>2668</v>
      </c>
      <c r="H125" s="878" t="s">
        <v>3113</v>
      </c>
      <c r="I125" s="867">
        <v>43951</v>
      </c>
      <c r="J125" s="861" t="s">
        <v>3215</v>
      </c>
    </row>
    <row r="126" spans="1:10" s="870" customFormat="1" ht="25.5" x14ac:dyDescent="0.2">
      <c r="A126" s="868" t="s">
        <v>2603</v>
      </c>
      <c r="B126" s="861" t="s">
        <v>2794</v>
      </c>
      <c r="C126" s="862" t="s">
        <v>2651</v>
      </c>
      <c r="D126" s="907" t="s">
        <v>2669</v>
      </c>
      <c r="E126" s="863">
        <v>0</v>
      </c>
      <c r="F126" s="864">
        <v>44315</v>
      </c>
      <c r="G126" s="865" t="s">
        <v>2668</v>
      </c>
      <c r="H126" s="878" t="s">
        <v>3114</v>
      </c>
      <c r="I126" s="867">
        <v>43951</v>
      </c>
      <c r="J126" s="861" t="s">
        <v>3215</v>
      </c>
    </row>
    <row r="127" spans="1:10" s="870" customFormat="1" ht="25.5" x14ac:dyDescent="0.2">
      <c r="A127" s="868" t="s">
        <v>2603</v>
      </c>
      <c r="B127" s="861" t="s">
        <v>2794</v>
      </c>
      <c r="C127" s="862" t="s">
        <v>2652</v>
      </c>
      <c r="D127" s="907" t="s">
        <v>2669</v>
      </c>
      <c r="E127" s="863">
        <v>0</v>
      </c>
      <c r="F127" s="864">
        <v>44315</v>
      </c>
      <c r="G127" s="865" t="s">
        <v>2668</v>
      </c>
      <c r="H127" s="878" t="s">
        <v>3115</v>
      </c>
      <c r="I127" s="867">
        <v>43951</v>
      </c>
      <c r="J127" s="861" t="s">
        <v>3215</v>
      </c>
    </row>
    <row r="128" spans="1:10" s="870" customFormat="1" ht="25.5" x14ac:dyDescent="0.2">
      <c r="A128" s="868" t="s">
        <v>2603</v>
      </c>
      <c r="B128" s="861" t="s">
        <v>2794</v>
      </c>
      <c r="C128" s="862" t="s">
        <v>2653</v>
      </c>
      <c r="D128" s="907" t="s">
        <v>2669</v>
      </c>
      <c r="E128" s="863">
        <v>0</v>
      </c>
      <c r="F128" s="864">
        <v>44315</v>
      </c>
      <c r="G128" s="865" t="s">
        <v>2668</v>
      </c>
      <c r="H128" s="878" t="s">
        <v>3116</v>
      </c>
      <c r="I128" s="867">
        <v>43951</v>
      </c>
      <c r="J128" s="861" t="s">
        <v>3215</v>
      </c>
    </row>
    <row r="129" spans="1:10" s="870" customFormat="1" ht="25.5" x14ac:dyDescent="0.2">
      <c r="A129" s="868" t="s">
        <v>2603</v>
      </c>
      <c r="B129" s="861" t="s">
        <v>2794</v>
      </c>
      <c r="C129" s="862" t="s">
        <v>2654</v>
      </c>
      <c r="D129" s="907" t="s">
        <v>2669</v>
      </c>
      <c r="E129" s="863">
        <v>0</v>
      </c>
      <c r="F129" s="864">
        <v>44315</v>
      </c>
      <c r="G129" s="865" t="s">
        <v>2668</v>
      </c>
      <c r="H129" s="878" t="s">
        <v>3117</v>
      </c>
      <c r="I129" s="867">
        <v>43951</v>
      </c>
      <c r="J129" s="861" t="s">
        <v>3215</v>
      </c>
    </row>
    <row r="130" spans="1:10" s="870" customFormat="1" ht="25.5" x14ac:dyDescent="0.2">
      <c r="A130" s="868" t="s">
        <v>2603</v>
      </c>
      <c r="B130" s="861" t="s">
        <v>2794</v>
      </c>
      <c r="C130" s="862" t="s">
        <v>2655</v>
      </c>
      <c r="D130" s="907" t="s">
        <v>2669</v>
      </c>
      <c r="E130" s="863">
        <v>0</v>
      </c>
      <c r="F130" s="864">
        <v>44315</v>
      </c>
      <c r="G130" s="865" t="s">
        <v>2668</v>
      </c>
      <c r="H130" s="878" t="s">
        <v>3118</v>
      </c>
      <c r="I130" s="867">
        <v>43951</v>
      </c>
      <c r="J130" s="861" t="s">
        <v>3215</v>
      </c>
    </row>
    <row r="131" spans="1:10" s="870" customFormat="1" ht="25.5" x14ac:dyDescent="0.2">
      <c r="A131" s="868" t="s">
        <v>2603</v>
      </c>
      <c r="B131" s="861" t="s">
        <v>2794</v>
      </c>
      <c r="C131" s="862" t="s">
        <v>2656</v>
      </c>
      <c r="D131" s="907" t="s">
        <v>2669</v>
      </c>
      <c r="E131" s="863">
        <v>0</v>
      </c>
      <c r="F131" s="864">
        <v>44315</v>
      </c>
      <c r="G131" s="865" t="s">
        <v>2668</v>
      </c>
      <c r="H131" s="878" t="s">
        <v>3119</v>
      </c>
      <c r="I131" s="867">
        <v>43951</v>
      </c>
      <c r="J131" s="861" t="s">
        <v>3215</v>
      </c>
    </row>
    <row r="132" spans="1:10" s="870" customFormat="1" ht="25.5" x14ac:dyDescent="0.2">
      <c r="A132" s="868" t="s">
        <v>2603</v>
      </c>
      <c r="B132" s="861" t="s">
        <v>2794</v>
      </c>
      <c r="C132" s="862" t="s">
        <v>2657</v>
      </c>
      <c r="D132" s="907" t="s">
        <v>2669</v>
      </c>
      <c r="E132" s="863">
        <v>0</v>
      </c>
      <c r="F132" s="864">
        <v>44315</v>
      </c>
      <c r="G132" s="865" t="s">
        <v>2668</v>
      </c>
      <c r="H132" s="878" t="s">
        <v>3120</v>
      </c>
      <c r="I132" s="867">
        <v>43951</v>
      </c>
      <c r="J132" s="861" t="s">
        <v>3215</v>
      </c>
    </row>
    <row r="133" spans="1:10" s="870" customFormat="1" ht="25.5" x14ac:dyDescent="0.2">
      <c r="A133" s="868" t="s">
        <v>2603</v>
      </c>
      <c r="B133" s="861" t="s">
        <v>2794</v>
      </c>
      <c r="C133" s="862" t="s">
        <v>2658</v>
      </c>
      <c r="D133" s="907" t="s">
        <v>2669</v>
      </c>
      <c r="E133" s="863">
        <v>0</v>
      </c>
      <c r="F133" s="864">
        <v>44315</v>
      </c>
      <c r="G133" s="865" t="s">
        <v>2668</v>
      </c>
      <c r="H133" s="878" t="s">
        <v>3121</v>
      </c>
      <c r="I133" s="867">
        <v>43951</v>
      </c>
      <c r="J133" s="861" t="s">
        <v>3215</v>
      </c>
    </row>
    <row r="134" spans="1:10" s="870" customFormat="1" ht="25.5" x14ac:dyDescent="0.2">
      <c r="A134" s="868" t="s">
        <v>2603</v>
      </c>
      <c r="B134" s="861" t="s">
        <v>2794</v>
      </c>
      <c r="C134" s="862" t="s">
        <v>2659</v>
      </c>
      <c r="D134" s="907" t="s">
        <v>2669</v>
      </c>
      <c r="E134" s="863">
        <v>0</v>
      </c>
      <c r="F134" s="864">
        <v>44315</v>
      </c>
      <c r="G134" s="865" t="s">
        <v>2668</v>
      </c>
      <c r="H134" s="878" t="s">
        <v>3122</v>
      </c>
      <c r="I134" s="867">
        <v>43951</v>
      </c>
      <c r="J134" s="861" t="s">
        <v>3215</v>
      </c>
    </row>
    <row r="135" spans="1:10" s="870" customFormat="1" ht="25.5" x14ac:dyDescent="0.2">
      <c r="A135" s="868" t="s">
        <v>2603</v>
      </c>
      <c r="B135" s="861" t="s">
        <v>2794</v>
      </c>
      <c r="C135" s="862" t="s">
        <v>2660</v>
      </c>
      <c r="D135" s="907" t="s">
        <v>2669</v>
      </c>
      <c r="E135" s="863">
        <v>0</v>
      </c>
      <c r="F135" s="864">
        <v>44315</v>
      </c>
      <c r="G135" s="865" t="s">
        <v>2668</v>
      </c>
      <c r="H135" s="878" t="s">
        <v>3123</v>
      </c>
      <c r="I135" s="867">
        <v>43951</v>
      </c>
      <c r="J135" s="861" t="s">
        <v>3215</v>
      </c>
    </row>
    <row r="136" spans="1:10" s="870" customFormat="1" ht="25.5" x14ac:dyDescent="0.2">
      <c r="A136" s="868" t="s">
        <v>2603</v>
      </c>
      <c r="B136" s="861" t="s">
        <v>2794</v>
      </c>
      <c r="C136" s="862" t="s">
        <v>2661</v>
      </c>
      <c r="D136" s="907" t="s">
        <v>2669</v>
      </c>
      <c r="E136" s="863">
        <v>0</v>
      </c>
      <c r="F136" s="864">
        <v>44315</v>
      </c>
      <c r="G136" s="865" t="s">
        <v>2668</v>
      </c>
      <c r="H136" s="878" t="s">
        <v>3124</v>
      </c>
      <c r="I136" s="867">
        <v>43951</v>
      </c>
      <c r="J136" s="861" t="s">
        <v>3215</v>
      </c>
    </row>
    <row r="137" spans="1:10" s="870" customFormat="1" ht="25.5" x14ac:dyDescent="0.2">
      <c r="A137" s="868" t="s">
        <v>2603</v>
      </c>
      <c r="B137" s="861" t="s">
        <v>2794</v>
      </c>
      <c r="C137" s="862" t="s">
        <v>2662</v>
      </c>
      <c r="D137" s="907" t="s">
        <v>2669</v>
      </c>
      <c r="E137" s="863">
        <v>0</v>
      </c>
      <c r="F137" s="864">
        <v>44315</v>
      </c>
      <c r="G137" s="865" t="s">
        <v>2668</v>
      </c>
      <c r="H137" s="878" t="s">
        <v>3125</v>
      </c>
      <c r="I137" s="867">
        <v>43951</v>
      </c>
      <c r="J137" s="861" t="s">
        <v>3215</v>
      </c>
    </row>
    <row r="138" spans="1:10" s="870" customFormat="1" ht="25.5" x14ac:dyDescent="0.2">
      <c r="A138" s="868" t="s">
        <v>2603</v>
      </c>
      <c r="B138" s="861" t="s">
        <v>2794</v>
      </c>
      <c r="C138" s="862" t="s">
        <v>2663</v>
      </c>
      <c r="D138" s="907" t="s">
        <v>2669</v>
      </c>
      <c r="E138" s="863">
        <v>0</v>
      </c>
      <c r="F138" s="864">
        <v>44315</v>
      </c>
      <c r="G138" s="865" t="s">
        <v>2668</v>
      </c>
      <c r="H138" s="878" t="s">
        <v>3126</v>
      </c>
      <c r="I138" s="867">
        <v>43951</v>
      </c>
      <c r="J138" s="861" t="s">
        <v>3215</v>
      </c>
    </row>
    <row r="139" spans="1:10" s="870" customFormat="1" ht="25.5" x14ac:dyDescent="0.2">
      <c r="A139" s="868" t="s">
        <v>2603</v>
      </c>
      <c r="B139" s="916" t="s">
        <v>2794</v>
      </c>
      <c r="C139" s="862" t="s">
        <v>2664</v>
      </c>
      <c r="D139" s="907" t="s">
        <v>2669</v>
      </c>
      <c r="E139" s="863">
        <v>0</v>
      </c>
      <c r="F139" s="864">
        <v>44315</v>
      </c>
      <c r="G139" s="865" t="s">
        <v>2668</v>
      </c>
      <c r="H139" s="878" t="s">
        <v>3127</v>
      </c>
      <c r="I139" s="867">
        <v>43951</v>
      </c>
      <c r="J139" s="861" t="s">
        <v>3215</v>
      </c>
    </row>
    <row r="140" spans="1:10" s="870" customFormat="1" ht="25.5" x14ac:dyDescent="0.2">
      <c r="A140" s="868" t="s">
        <v>2603</v>
      </c>
      <c r="B140" s="861" t="s">
        <v>2794</v>
      </c>
      <c r="C140" s="862" t="s">
        <v>2665</v>
      </c>
      <c r="D140" s="907" t="s">
        <v>2669</v>
      </c>
      <c r="E140" s="863">
        <v>0</v>
      </c>
      <c r="F140" s="864">
        <v>44315</v>
      </c>
      <c r="G140" s="865" t="s">
        <v>2668</v>
      </c>
      <c r="H140" s="878" t="s">
        <v>3128</v>
      </c>
      <c r="I140" s="867">
        <v>43951</v>
      </c>
      <c r="J140" s="861" t="s">
        <v>3215</v>
      </c>
    </row>
    <row r="141" spans="1:10" s="870" customFormat="1" ht="25.5" x14ac:dyDescent="0.2">
      <c r="A141" s="868" t="s">
        <v>2603</v>
      </c>
      <c r="B141" s="861" t="s">
        <v>2794</v>
      </c>
      <c r="C141" s="862" t="s">
        <v>2666</v>
      </c>
      <c r="D141" s="907" t="s">
        <v>2669</v>
      </c>
      <c r="E141" s="863">
        <v>0</v>
      </c>
      <c r="F141" s="864">
        <v>44315</v>
      </c>
      <c r="G141" s="865" t="s">
        <v>2668</v>
      </c>
      <c r="H141" s="878" t="s">
        <v>3129</v>
      </c>
      <c r="I141" s="867">
        <v>43951</v>
      </c>
      <c r="J141" s="861" t="s">
        <v>3215</v>
      </c>
    </row>
    <row r="142" spans="1:10" s="870" customFormat="1" ht="25.5" x14ac:dyDescent="0.25">
      <c r="A142" s="868" t="s">
        <v>2603</v>
      </c>
      <c r="B142" s="861" t="s">
        <v>2794</v>
      </c>
      <c r="C142" s="862" t="s">
        <v>2667</v>
      </c>
      <c r="D142" s="907" t="s">
        <v>2669</v>
      </c>
      <c r="E142" s="863">
        <v>0</v>
      </c>
      <c r="F142" s="864">
        <v>44315</v>
      </c>
      <c r="G142" s="865" t="s">
        <v>2668</v>
      </c>
      <c r="H142" s="1032" t="s">
        <v>3188</v>
      </c>
      <c r="I142" s="867">
        <v>43951</v>
      </c>
      <c r="J142" s="861" t="s">
        <v>3215</v>
      </c>
    </row>
    <row r="143" spans="1:10" s="870" customFormat="1" ht="25.5" x14ac:dyDescent="0.2">
      <c r="A143" s="868" t="s">
        <v>2706</v>
      </c>
      <c r="B143" s="861" t="s">
        <v>2794</v>
      </c>
      <c r="C143" s="862" t="s">
        <v>2707</v>
      </c>
      <c r="D143" s="907" t="s">
        <v>2669</v>
      </c>
      <c r="E143" s="863">
        <v>0</v>
      </c>
      <c r="F143" s="864">
        <v>44862</v>
      </c>
      <c r="G143" s="865" t="s">
        <v>2710</v>
      </c>
      <c r="H143" s="878" t="s">
        <v>3130</v>
      </c>
      <c r="I143" s="867">
        <v>43962</v>
      </c>
      <c r="J143" s="861" t="s">
        <v>3215</v>
      </c>
    </row>
    <row r="144" spans="1:10" s="870" customFormat="1" ht="25.5" x14ac:dyDescent="0.2">
      <c r="A144" s="868" t="s">
        <v>2706</v>
      </c>
      <c r="B144" s="861" t="s">
        <v>2794</v>
      </c>
      <c r="C144" s="862" t="s">
        <v>2775</v>
      </c>
      <c r="D144" s="907" t="s">
        <v>2669</v>
      </c>
      <c r="E144" s="863">
        <v>0</v>
      </c>
      <c r="F144" s="864">
        <v>44862</v>
      </c>
      <c r="G144" s="865" t="s">
        <v>2710</v>
      </c>
      <c r="H144" s="878" t="s">
        <v>3189</v>
      </c>
      <c r="I144" s="867">
        <v>43962</v>
      </c>
      <c r="J144" s="861" t="s">
        <v>3215</v>
      </c>
    </row>
    <row r="145" spans="1:10" s="870" customFormat="1" ht="25.5" x14ac:dyDescent="0.2">
      <c r="A145" s="868" t="s">
        <v>2706</v>
      </c>
      <c r="B145" s="861" t="s">
        <v>2794</v>
      </c>
      <c r="C145" s="862" t="s">
        <v>2708</v>
      </c>
      <c r="D145" s="907" t="s">
        <v>2669</v>
      </c>
      <c r="E145" s="863">
        <v>0</v>
      </c>
      <c r="F145" s="864">
        <v>44862</v>
      </c>
      <c r="G145" s="865" t="s">
        <v>2710</v>
      </c>
      <c r="H145" s="878" t="s">
        <v>3131</v>
      </c>
      <c r="I145" s="867">
        <v>43962</v>
      </c>
      <c r="J145" s="861" t="s">
        <v>3215</v>
      </c>
    </row>
    <row r="146" spans="1:10" s="870" customFormat="1" ht="25.5" x14ac:dyDescent="0.2">
      <c r="A146" s="868" t="s">
        <v>2706</v>
      </c>
      <c r="B146" s="861" t="s">
        <v>2794</v>
      </c>
      <c r="C146" s="862" t="s">
        <v>2709</v>
      </c>
      <c r="D146" s="907" t="s">
        <v>2669</v>
      </c>
      <c r="E146" s="863">
        <v>0</v>
      </c>
      <c r="F146" s="864">
        <v>44862</v>
      </c>
      <c r="G146" s="865" t="s">
        <v>2710</v>
      </c>
      <c r="H146" s="878" t="s">
        <v>3132</v>
      </c>
      <c r="I146" s="867">
        <v>43962</v>
      </c>
      <c r="J146" s="861" t="s">
        <v>3215</v>
      </c>
    </row>
    <row r="147" spans="1:10" s="870" customFormat="1" ht="25.5" x14ac:dyDescent="0.2">
      <c r="A147" s="868" t="s">
        <v>2706</v>
      </c>
      <c r="B147" s="861" t="s">
        <v>2794</v>
      </c>
      <c r="C147" s="862" t="s">
        <v>2711</v>
      </c>
      <c r="D147" s="907" t="s">
        <v>2669</v>
      </c>
      <c r="E147" s="863">
        <v>0</v>
      </c>
      <c r="F147" s="864">
        <v>44862</v>
      </c>
      <c r="G147" s="865" t="s">
        <v>2710</v>
      </c>
      <c r="H147" s="878" t="s">
        <v>3133</v>
      </c>
      <c r="I147" s="867">
        <v>43962</v>
      </c>
      <c r="J147" s="861" t="s">
        <v>3215</v>
      </c>
    </row>
    <row r="148" spans="1:10" s="870" customFormat="1" ht="25.5" x14ac:dyDescent="0.2">
      <c r="A148" s="868" t="s">
        <v>2706</v>
      </c>
      <c r="B148" s="861" t="s">
        <v>2794</v>
      </c>
      <c r="C148" s="862" t="s">
        <v>2349</v>
      </c>
      <c r="D148" s="907" t="s">
        <v>2669</v>
      </c>
      <c r="E148" s="863">
        <v>0</v>
      </c>
      <c r="F148" s="864">
        <v>44862</v>
      </c>
      <c r="G148" s="865" t="s">
        <v>2710</v>
      </c>
      <c r="H148" s="878" t="s">
        <v>3134</v>
      </c>
      <c r="I148" s="867">
        <v>43962</v>
      </c>
      <c r="J148" s="861" t="s">
        <v>3215</v>
      </c>
    </row>
    <row r="149" spans="1:10" s="870" customFormat="1" ht="25.5" x14ac:dyDescent="0.2">
      <c r="A149" s="868" t="s">
        <v>2706</v>
      </c>
      <c r="B149" s="861" t="s">
        <v>2794</v>
      </c>
      <c r="C149" s="862" t="s">
        <v>2216</v>
      </c>
      <c r="D149" s="907" t="s">
        <v>2669</v>
      </c>
      <c r="E149" s="863">
        <v>0</v>
      </c>
      <c r="F149" s="864">
        <v>44862</v>
      </c>
      <c r="G149" s="865" t="s">
        <v>2710</v>
      </c>
      <c r="H149" s="878" t="s">
        <v>3135</v>
      </c>
      <c r="I149" s="867">
        <v>43962</v>
      </c>
      <c r="J149" s="861" t="s">
        <v>3215</v>
      </c>
    </row>
    <row r="150" spans="1:10" s="870" customFormat="1" ht="25.5" x14ac:dyDescent="0.2">
      <c r="A150" s="868" t="s">
        <v>2706</v>
      </c>
      <c r="B150" s="861" t="s">
        <v>2794</v>
      </c>
      <c r="C150" s="862" t="s">
        <v>2712</v>
      </c>
      <c r="D150" s="907" t="s">
        <v>2669</v>
      </c>
      <c r="E150" s="863">
        <v>0</v>
      </c>
      <c r="F150" s="864">
        <v>44862</v>
      </c>
      <c r="G150" s="865" t="s">
        <v>2710</v>
      </c>
      <c r="H150" s="878" t="s">
        <v>3136</v>
      </c>
      <c r="I150" s="867">
        <v>43962</v>
      </c>
      <c r="J150" s="861" t="s">
        <v>3215</v>
      </c>
    </row>
    <row r="151" spans="1:10" s="870" customFormat="1" ht="25.5" x14ac:dyDescent="0.2">
      <c r="A151" s="868" t="s">
        <v>2706</v>
      </c>
      <c r="B151" s="861" t="s">
        <v>2794</v>
      </c>
      <c r="C151" s="862" t="s">
        <v>2713</v>
      </c>
      <c r="D151" s="907" t="s">
        <v>2669</v>
      </c>
      <c r="E151" s="863">
        <v>0</v>
      </c>
      <c r="F151" s="864">
        <v>44862</v>
      </c>
      <c r="G151" s="865" t="s">
        <v>2710</v>
      </c>
      <c r="H151" s="878" t="s">
        <v>3137</v>
      </c>
      <c r="I151" s="867">
        <v>43962</v>
      </c>
      <c r="J151" s="861" t="s">
        <v>3215</v>
      </c>
    </row>
    <row r="152" spans="1:10" s="870" customFormat="1" ht="25.5" x14ac:dyDescent="0.2">
      <c r="A152" s="868" t="s">
        <v>2706</v>
      </c>
      <c r="B152" s="861" t="s">
        <v>2794</v>
      </c>
      <c r="C152" s="862" t="s">
        <v>2714</v>
      </c>
      <c r="D152" s="907" t="s">
        <v>2669</v>
      </c>
      <c r="E152" s="863">
        <v>0</v>
      </c>
      <c r="F152" s="864">
        <v>44862</v>
      </c>
      <c r="G152" s="865" t="s">
        <v>2710</v>
      </c>
      <c r="H152" s="878" t="s">
        <v>3138</v>
      </c>
      <c r="I152" s="867">
        <v>43962</v>
      </c>
      <c r="J152" s="861" t="s">
        <v>3215</v>
      </c>
    </row>
    <row r="153" spans="1:10" s="870" customFormat="1" ht="25.5" x14ac:dyDescent="0.2">
      <c r="A153" s="868" t="s">
        <v>2706</v>
      </c>
      <c r="B153" s="861" t="s">
        <v>2794</v>
      </c>
      <c r="C153" s="862" t="s">
        <v>1918</v>
      </c>
      <c r="D153" s="907" t="s">
        <v>2669</v>
      </c>
      <c r="E153" s="863">
        <v>0</v>
      </c>
      <c r="F153" s="864">
        <v>44862</v>
      </c>
      <c r="G153" s="865" t="s">
        <v>2710</v>
      </c>
      <c r="H153" s="878" t="s">
        <v>3025</v>
      </c>
      <c r="I153" s="867">
        <v>43962</v>
      </c>
      <c r="J153" s="861" t="s">
        <v>3215</v>
      </c>
    </row>
    <row r="154" spans="1:10" s="870" customFormat="1" ht="25.5" x14ac:dyDescent="0.2">
      <c r="A154" s="868" t="s">
        <v>2706</v>
      </c>
      <c r="B154" s="861" t="s">
        <v>2794</v>
      </c>
      <c r="C154" s="862" t="s">
        <v>2715</v>
      </c>
      <c r="D154" s="907" t="s">
        <v>2669</v>
      </c>
      <c r="E154" s="863">
        <v>0</v>
      </c>
      <c r="F154" s="864">
        <v>44862</v>
      </c>
      <c r="G154" s="865" t="s">
        <v>2710</v>
      </c>
      <c r="H154" s="878" t="s">
        <v>3139</v>
      </c>
      <c r="I154" s="867">
        <v>43962</v>
      </c>
      <c r="J154" s="861" t="s">
        <v>3215</v>
      </c>
    </row>
    <row r="155" spans="1:10" s="870" customFormat="1" ht="25.5" x14ac:dyDescent="0.2">
      <c r="A155" s="868" t="s">
        <v>2706</v>
      </c>
      <c r="B155" s="861" t="s">
        <v>2794</v>
      </c>
      <c r="C155" s="862" t="s">
        <v>2716</v>
      </c>
      <c r="D155" s="907" t="s">
        <v>2669</v>
      </c>
      <c r="E155" s="863">
        <v>0</v>
      </c>
      <c r="F155" s="864">
        <v>44862</v>
      </c>
      <c r="G155" s="865" t="s">
        <v>2710</v>
      </c>
      <c r="H155" s="878" t="s">
        <v>3140</v>
      </c>
      <c r="I155" s="867">
        <v>43962</v>
      </c>
      <c r="J155" s="861" t="s">
        <v>3215</v>
      </c>
    </row>
    <row r="156" spans="1:10" s="870" customFormat="1" ht="25.5" x14ac:dyDescent="0.2">
      <c r="A156" s="868" t="s">
        <v>2706</v>
      </c>
      <c r="B156" s="861" t="s">
        <v>2794</v>
      </c>
      <c r="C156" s="862" t="s">
        <v>2717</v>
      </c>
      <c r="D156" s="907" t="s">
        <v>2669</v>
      </c>
      <c r="E156" s="863">
        <v>0</v>
      </c>
      <c r="F156" s="864">
        <v>44862</v>
      </c>
      <c r="G156" s="865" t="s">
        <v>2710</v>
      </c>
      <c r="H156" s="878" t="s">
        <v>3141</v>
      </c>
      <c r="I156" s="867">
        <v>43962</v>
      </c>
      <c r="J156" s="861" t="s">
        <v>3215</v>
      </c>
    </row>
    <row r="157" spans="1:10" s="870" customFormat="1" ht="25.5" x14ac:dyDescent="0.2">
      <c r="A157" s="868" t="s">
        <v>2706</v>
      </c>
      <c r="B157" s="861" t="s">
        <v>2794</v>
      </c>
      <c r="C157" s="862" t="s">
        <v>2718</v>
      </c>
      <c r="D157" s="907" t="s">
        <v>2669</v>
      </c>
      <c r="E157" s="863">
        <v>0</v>
      </c>
      <c r="F157" s="864">
        <v>44862</v>
      </c>
      <c r="G157" s="865" t="s">
        <v>2710</v>
      </c>
      <c r="H157" s="878" t="s">
        <v>3142</v>
      </c>
      <c r="I157" s="867">
        <v>43962</v>
      </c>
      <c r="J157" s="861" t="s">
        <v>3215</v>
      </c>
    </row>
    <row r="158" spans="1:10" s="870" customFormat="1" ht="25.5" x14ac:dyDescent="0.2">
      <c r="A158" s="868" t="s">
        <v>2706</v>
      </c>
      <c r="B158" s="861" t="s">
        <v>2794</v>
      </c>
      <c r="C158" s="862" t="s">
        <v>2719</v>
      </c>
      <c r="D158" s="907" t="s">
        <v>2669</v>
      </c>
      <c r="E158" s="863">
        <v>0</v>
      </c>
      <c r="F158" s="864">
        <v>44939</v>
      </c>
      <c r="G158" s="865" t="s">
        <v>2761</v>
      </c>
      <c r="H158" s="878" t="s">
        <v>3143</v>
      </c>
      <c r="I158" s="867">
        <v>44039</v>
      </c>
      <c r="J158" s="861" t="s">
        <v>3215</v>
      </c>
    </row>
    <row r="159" spans="1:10" s="870" customFormat="1" ht="25.5" x14ac:dyDescent="0.2">
      <c r="A159" s="868" t="s">
        <v>2706</v>
      </c>
      <c r="B159" s="861" t="s">
        <v>2794</v>
      </c>
      <c r="C159" s="862" t="s">
        <v>2720</v>
      </c>
      <c r="D159" s="907" t="s">
        <v>2669</v>
      </c>
      <c r="E159" s="863">
        <v>0</v>
      </c>
      <c r="F159" s="864">
        <v>44939</v>
      </c>
      <c r="G159" s="865" t="s">
        <v>2761</v>
      </c>
      <c r="H159" s="878" t="s">
        <v>3038</v>
      </c>
      <c r="I159" s="867">
        <v>44039</v>
      </c>
      <c r="J159" s="861" t="s">
        <v>3215</v>
      </c>
    </row>
    <row r="160" spans="1:10" s="870" customFormat="1" ht="25.5" x14ac:dyDescent="0.2">
      <c r="A160" s="868" t="s">
        <v>2706</v>
      </c>
      <c r="B160" s="861" t="s">
        <v>2794</v>
      </c>
      <c r="C160" s="862" t="s">
        <v>2721</v>
      </c>
      <c r="D160" s="907" t="s">
        <v>2669</v>
      </c>
      <c r="E160" s="863">
        <v>0</v>
      </c>
      <c r="F160" s="864">
        <v>44939</v>
      </c>
      <c r="G160" s="865" t="s">
        <v>2761</v>
      </c>
      <c r="H160" s="878" t="s">
        <v>3144</v>
      </c>
      <c r="I160" s="867">
        <v>44039</v>
      </c>
      <c r="J160" s="861" t="s">
        <v>3215</v>
      </c>
    </row>
    <row r="161" spans="1:10" s="870" customFormat="1" ht="25.5" x14ac:dyDescent="0.2">
      <c r="A161" s="868" t="s">
        <v>2706</v>
      </c>
      <c r="B161" s="861" t="s">
        <v>2794</v>
      </c>
      <c r="C161" s="862" t="s">
        <v>2722</v>
      </c>
      <c r="D161" s="907" t="s">
        <v>2669</v>
      </c>
      <c r="E161" s="863">
        <v>0</v>
      </c>
      <c r="F161" s="864">
        <v>44939</v>
      </c>
      <c r="G161" s="865" t="s">
        <v>2761</v>
      </c>
      <c r="H161" s="878" t="s">
        <v>3145</v>
      </c>
      <c r="I161" s="867">
        <v>44039</v>
      </c>
      <c r="J161" s="861" t="s">
        <v>3215</v>
      </c>
    </row>
    <row r="162" spans="1:10" s="870" customFormat="1" ht="25.5" x14ac:dyDescent="0.2">
      <c r="A162" s="868" t="s">
        <v>2706</v>
      </c>
      <c r="B162" s="861" t="s">
        <v>2794</v>
      </c>
      <c r="C162" s="862" t="s">
        <v>2723</v>
      </c>
      <c r="D162" s="907" t="s">
        <v>2669</v>
      </c>
      <c r="E162" s="863">
        <v>0</v>
      </c>
      <c r="F162" s="864">
        <v>44939</v>
      </c>
      <c r="G162" s="865" t="s">
        <v>2761</v>
      </c>
      <c r="H162" s="878">
        <v>2483824110</v>
      </c>
      <c r="I162" s="867">
        <v>44039</v>
      </c>
      <c r="J162" s="861" t="s">
        <v>3215</v>
      </c>
    </row>
    <row r="163" spans="1:10" s="870" customFormat="1" ht="25.5" x14ac:dyDescent="0.2">
      <c r="A163" s="868" t="s">
        <v>2706</v>
      </c>
      <c r="B163" s="861" t="s">
        <v>2794</v>
      </c>
      <c r="C163" s="862" t="s">
        <v>2092</v>
      </c>
      <c r="D163" s="907" t="s">
        <v>2669</v>
      </c>
      <c r="E163" s="863">
        <v>0</v>
      </c>
      <c r="F163" s="864">
        <v>44939</v>
      </c>
      <c r="G163" s="865" t="s">
        <v>2761</v>
      </c>
      <c r="H163" s="878" t="s">
        <v>3146</v>
      </c>
      <c r="I163" s="867">
        <v>44039</v>
      </c>
      <c r="J163" s="861" t="s">
        <v>3215</v>
      </c>
    </row>
    <row r="164" spans="1:10" s="870" customFormat="1" ht="25.5" x14ac:dyDescent="0.2">
      <c r="A164" s="868" t="s">
        <v>2706</v>
      </c>
      <c r="B164" s="861" t="s">
        <v>2794</v>
      </c>
      <c r="C164" s="862" t="s">
        <v>2724</v>
      </c>
      <c r="D164" s="907" t="s">
        <v>2669</v>
      </c>
      <c r="E164" s="863">
        <v>0</v>
      </c>
      <c r="F164" s="864">
        <v>44939</v>
      </c>
      <c r="G164" s="865" t="s">
        <v>2761</v>
      </c>
      <c r="H164" s="878" t="s">
        <v>3147</v>
      </c>
      <c r="I164" s="867">
        <v>44039</v>
      </c>
      <c r="J164" s="861" t="s">
        <v>3215</v>
      </c>
    </row>
    <row r="165" spans="1:10" s="870" customFormat="1" ht="25.5" x14ac:dyDescent="0.2">
      <c r="A165" s="868" t="s">
        <v>2706</v>
      </c>
      <c r="B165" s="861" t="s">
        <v>2794</v>
      </c>
      <c r="C165" s="862" t="s">
        <v>2725</v>
      </c>
      <c r="D165" s="907" t="s">
        <v>2669</v>
      </c>
      <c r="E165" s="863">
        <v>0</v>
      </c>
      <c r="F165" s="864">
        <v>44939</v>
      </c>
      <c r="G165" s="865" t="s">
        <v>2761</v>
      </c>
      <c r="H165" s="878" t="s">
        <v>3148</v>
      </c>
      <c r="I165" s="867">
        <v>44039</v>
      </c>
      <c r="J165" s="861" t="s">
        <v>3215</v>
      </c>
    </row>
    <row r="166" spans="1:10" s="870" customFormat="1" ht="25.5" x14ac:dyDescent="0.2">
      <c r="A166" s="868" t="s">
        <v>2706</v>
      </c>
      <c r="B166" s="861" t="s">
        <v>2794</v>
      </c>
      <c r="C166" s="862" t="s">
        <v>2726</v>
      </c>
      <c r="D166" s="907" t="s">
        <v>2669</v>
      </c>
      <c r="E166" s="863">
        <v>0</v>
      </c>
      <c r="F166" s="864">
        <v>44939</v>
      </c>
      <c r="G166" s="865" t="s">
        <v>2761</v>
      </c>
      <c r="H166" s="878" t="s">
        <v>3149</v>
      </c>
      <c r="I166" s="867">
        <v>44039</v>
      </c>
      <c r="J166" s="861" t="s">
        <v>3215</v>
      </c>
    </row>
    <row r="167" spans="1:10" s="870" customFormat="1" ht="25.5" x14ac:dyDescent="0.2">
      <c r="A167" s="868" t="s">
        <v>2706</v>
      </c>
      <c r="B167" s="861" t="s">
        <v>2794</v>
      </c>
      <c r="C167" s="862" t="s">
        <v>2727</v>
      </c>
      <c r="D167" s="907" t="s">
        <v>2669</v>
      </c>
      <c r="E167" s="863">
        <v>0</v>
      </c>
      <c r="F167" s="864">
        <v>44939</v>
      </c>
      <c r="G167" s="865" t="s">
        <v>2761</v>
      </c>
      <c r="H167" s="878" t="s">
        <v>3150</v>
      </c>
      <c r="I167" s="867">
        <v>44039</v>
      </c>
      <c r="J167" s="861" t="s">
        <v>3215</v>
      </c>
    </row>
    <row r="168" spans="1:10" s="870" customFormat="1" ht="25.5" x14ac:dyDescent="0.2">
      <c r="A168" s="868" t="s">
        <v>2706</v>
      </c>
      <c r="B168" s="861" t="s">
        <v>2794</v>
      </c>
      <c r="C168" s="862" t="s">
        <v>2728</v>
      </c>
      <c r="D168" s="907" t="s">
        <v>2669</v>
      </c>
      <c r="E168" s="863">
        <v>0</v>
      </c>
      <c r="F168" s="864">
        <v>44939</v>
      </c>
      <c r="G168" s="865" t="s">
        <v>2761</v>
      </c>
      <c r="H168" s="878" t="s">
        <v>3151</v>
      </c>
      <c r="I168" s="867">
        <v>44039</v>
      </c>
      <c r="J168" s="861" t="s">
        <v>3215</v>
      </c>
    </row>
    <row r="169" spans="1:10" s="870" customFormat="1" ht="25.5" x14ac:dyDescent="0.2">
      <c r="A169" s="868" t="s">
        <v>2706</v>
      </c>
      <c r="B169" s="861" t="s">
        <v>2794</v>
      </c>
      <c r="C169" s="862" t="s">
        <v>2729</v>
      </c>
      <c r="D169" s="907" t="s">
        <v>2669</v>
      </c>
      <c r="E169" s="863">
        <v>0</v>
      </c>
      <c r="F169" s="864">
        <v>44939</v>
      </c>
      <c r="G169" s="865" t="s">
        <v>2761</v>
      </c>
      <c r="H169" s="878" t="s">
        <v>3152</v>
      </c>
      <c r="I169" s="867">
        <v>44039</v>
      </c>
      <c r="J169" s="861" t="s">
        <v>3215</v>
      </c>
    </row>
    <row r="170" spans="1:10" s="870" customFormat="1" ht="25.5" x14ac:dyDescent="0.2">
      <c r="A170" s="868" t="s">
        <v>2706</v>
      </c>
      <c r="B170" s="861" t="s">
        <v>2794</v>
      </c>
      <c r="C170" s="862" t="s">
        <v>2730</v>
      </c>
      <c r="D170" s="907" t="s">
        <v>2669</v>
      </c>
      <c r="E170" s="863">
        <v>0</v>
      </c>
      <c r="F170" s="864">
        <v>44939</v>
      </c>
      <c r="G170" s="865" t="s">
        <v>2761</v>
      </c>
      <c r="H170" s="878" t="s">
        <v>3153</v>
      </c>
      <c r="I170" s="867">
        <v>44039</v>
      </c>
      <c r="J170" s="861" t="s">
        <v>3215</v>
      </c>
    </row>
    <row r="171" spans="1:10" s="870" customFormat="1" ht="25.5" x14ac:dyDescent="0.2">
      <c r="A171" s="868" t="s">
        <v>2706</v>
      </c>
      <c r="B171" s="861" t="s">
        <v>2794</v>
      </c>
      <c r="C171" s="862" t="s">
        <v>2731</v>
      </c>
      <c r="D171" s="907" t="s">
        <v>2669</v>
      </c>
      <c r="E171" s="863">
        <v>0</v>
      </c>
      <c r="F171" s="864">
        <v>44939</v>
      </c>
      <c r="G171" s="865" t="s">
        <v>2761</v>
      </c>
      <c r="H171" s="878" t="s">
        <v>3187</v>
      </c>
      <c r="I171" s="867">
        <v>44039</v>
      </c>
      <c r="J171" s="861" t="s">
        <v>3215</v>
      </c>
    </row>
    <row r="172" spans="1:10" s="870" customFormat="1" ht="25.5" x14ac:dyDescent="0.2">
      <c r="A172" s="868" t="s">
        <v>2706</v>
      </c>
      <c r="B172" s="861" t="s">
        <v>2794</v>
      </c>
      <c r="C172" s="862" t="s">
        <v>2732</v>
      </c>
      <c r="D172" s="907" t="s">
        <v>2669</v>
      </c>
      <c r="E172" s="863">
        <v>0</v>
      </c>
      <c r="F172" s="864">
        <v>44939</v>
      </c>
      <c r="G172" s="865" t="s">
        <v>2761</v>
      </c>
      <c r="H172" s="878" t="s">
        <v>3154</v>
      </c>
      <c r="I172" s="867">
        <v>44039</v>
      </c>
      <c r="J172" s="861" t="s">
        <v>3215</v>
      </c>
    </row>
    <row r="173" spans="1:10" s="870" customFormat="1" ht="25.5" x14ac:dyDescent="0.2">
      <c r="A173" s="868" t="s">
        <v>2706</v>
      </c>
      <c r="B173" s="861" t="s">
        <v>2794</v>
      </c>
      <c r="C173" s="862" t="s">
        <v>2733</v>
      </c>
      <c r="D173" s="907" t="s">
        <v>2669</v>
      </c>
      <c r="E173" s="863">
        <v>0</v>
      </c>
      <c r="F173" s="864">
        <v>44939</v>
      </c>
      <c r="G173" s="865" t="s">
        <v>2761</v>
      </c>
      <c r="H173" s="878" t="s">
        <v>3155</v>
      </c>
      <c r="I173" s="867">
        <v>44039</v>
      </c>
      <c r="J173" s="861" t="s">
        <v>3215</v>
      </c>
    </row>
    <row r="174" spans="1:10" s="870" customFormat="1" ht="25.5" x14ac:dyDescent="0.2">
      <c r="A174" s="868" t="s">
        <v>2706</v>
      </c>
      <c r="B174" s="861" t="s">
        <v>2794</v>
      </c>
      <c r="C174" s="862" t="s">
        <v>2734</v>
      </c>
      <c r="D174" s="907" t="s">
        <v>2669</v>
      </c>
      <c r="E174" s="863">
        <v>0</v>
      </c>
      <c r="F174" s="864">
        <v>44939</v>
      </c>
      <c r="G174" s="865" t="s">
        <v>2761</v>
      </c>
      <c r="H174" s="878" t="s">
        <v>3156</v>
      </c>
      <c r="I174" s="867">
        <v>44039</v>
      </c>
      <c r="J174" s="861" t="s">
        <v>3215</v>
      </c>
    </row>
    <row r="175" spans="1:10" s="870" customFormat="1" ht="25.5" x14ac:dyDescent="0.2">
      <c r="A175" s="868" t="s">
        <v>2706</v>
      </c>
      <c r="B175" s="861" t="s">
        <v>2794</v>
      </c>
      <c r="C175" s="862" t="s">
        <v>2735</v>
      </c>
      <c r="D175" s="907" t="s">
        <v>2669</v>
      </c>
      <c r="E175" s="863">
        <v>0</v>
      </c>
      <c r="F175" s="864">
        <v>44939</v>
      </c>
      <c r="G175" s="865" t="s">
        <v>2761</v>
      </c>
      <c r="H175" s="878" t="s">
        <v>3157</v>
      </c>
      <c r="I175" s="867">
        <v>44039</v>
      </c>
      <c r="J175" s="861" t="s">
        <v>3215</v>
      </c>
    </row>
    <row r="176" spans="1:10" s="870" customFormat="1" ht="25.5" x14ac:dyDescent="0.2">
      <c r="A176" s="868" t="s">
        <v>2706</v>
      </c>
      <c r="B176" s="861" t="s">
        <v>2794</v>
      </c>
      <c r="C176" s="862" t="s">
        <v>2736</v>
      </c>
      <c r="D176" s="907" t="s">
        <v>2669</v>
      </c>
      <c r="E176" s="863">
        <v>0</v>
      </c>
      <c r="F176" s="864">
        <v>44939</v>
      </c>
      <c r="G176" s="865" t="s">
        <v>2761</v>
      </c>
      <c r="H176" s="878" t="s">
        <v>3158</v>
      </c>
      <c r="I176" s="867">
        <v>44039</v>
      </c>
      <c r="J176" s="861" t="s">
        <v>3215</v>
      </c>
    </row>
    <row r="177" spans="1:10" s="870" customFormat="1" ht="25.5" x14ac:dyDescent="0.2">
      <c r="A177" s="868" t="s">
        <v>2706</v>
      </c>
      <c r="B177" s="861" t="s">
        <v>2794</v>
      </c>
      <c r="C177" s="862" t="s">
        <v>2737</v>
      </c>
      <c r="D177" s="907" t="s">
        <v>2669</v>
      </c>
      <c r="E177" s="863">
        <v>0</v>
      </c>
      <c r="F177" s="864">
        <v>44939</v>
      </c>
      <c r="G177" s="865" t="s">
        <v>2761</v>
      </c>
      <c r="H177" s="878" t="s">
        <v>3159</v>
      </c>
      <c r="I177" s="867">
        <v>44039</v>
      </c>
      <c r="J177" s="861" t="s">
        <v>3215</v>
      </c>
    </row>
    <row r="178" spans="1:10" s="870" customFormat="1" ht="25.5" x14ac:dyDescent="0.2">
      <c r="A178" s="868" t="s">
        <v>2706</v>
      </c>
      <c r="B178" s="861" t="s">
        <v>2794</v>
      </c>
      <c r="C178" s="862" t="s">
        <v>2738</v>
      </c>
      <c r="D178" s="907" t="s">
        <v>2669</v>
      </c>
      <c r="E178" s="863">
        <v>0</v>
      </c>
      <c r="F178" s="864">
        <v>44939</v>
      </c>
      <c r="G178" s="865" t="s">
        <v>2761</v>
      </c>
      <c r="H178" s="878" t="s">
        <v>3160</v>
      </c>
      <c r="I178" s="867">
        <v>44039</v>
      </c>
      <c r="J178" s="861" t="s">
        <v>3215</v>
      </c>
    </row>
    <row r="179" spans="1:10" s="870" customFormat="1" ht="25.5" x14ac:dyDescent="0.2">
      <c r="A179" s="868" t="s">
        <v>2706</v>
      </c>
      <c r="B179" s="861" t="s">
        <v>2794</v>
      </c>
      <c r="C179" s="862" t="s">
        <v>2739</v>
      </c>
      <c r="D179" s="907" t="s">
        <v>2669</v>
      </c>
      <c r="E179" s="863">
        <v>0</v>
      </c>
      <c r="F179" s="864">
        <v>44939</v>
      </c>
      <c r="G179" s="865" t="s">
        <v>2761</v>
      </c>
      <c r="H179" s="878" t="s">
        <v>3161</v>
      </c>
      <c r="I179" s="867">
        <v>44039</v>
      </c>
      <c r="J179" s="861" t="s">
        <v>3215</v>
      </c>
    </row>
    <row r="180" spans="1:10" s="870" customFormat="1" ht="25.5" x14ac:dyDescent="0.2">
      <c r="A180" s="868" t="s">
        <v>2706</v>
      </c>
      <c r="B180" s="861" t="s">
        <v>2794</v>
      </c>
      <c r="C180" s="862" t="s">
        <v>2740</v>
      </c>
      <c r="D180" s="907" t="s">
        <v>2669</v>
      </c>
      <c r="E180" s="863">
        <v>0</v>
      </c>
      <c r="F180" s="864">
        <v>44939</v>
      </c>
      <c r="G180" s="865" t="s">
        <v>2761</v>
      </c>
      <c r="H180" s="878" t="s">
        <v>3162</v>
      </c>
      <c r="I180" s="867">
        <v>44039</v>
      </c>
      <c r="J180" s="861" t="s">
        <v>3215</v>
      </c>
    </row>
    <row r="181" spans="1:10" s="870" customFormat="1" ht="25.5" x14ac:dyDescent="0.2">
      <c r="A181" s="868" t="s">
        <v>2706</v>
      </c>
      <c r="B181" s="861" t="s">
        <v>2794</v>
      </c>
      <c r="C181" s="862" t="s">
        <v>2741</v>
      </c>
      <c r="D181" s="907" t="s">
        <v>2669</v>
      </c>
      <c r="E181" s="863">
        <v>0</v>
      </c>
      <c r="F181" s="864">
        <v>44939</v>
      </c>
      <c r="G181" s="865" t="s">
        <v>2761</v>
      </c>
      <c r="H181" s="878" t="s">
        <v>3163</v>
      </c>
      <c r="I181" s="867">
        <v>44039</v>
      </c>
      <c r="J181" s="861" t="s">
        <v>3215</v>
      </c>
    </row>
    <row r="182" spans="1:10" s="870" customFormat="1" ht="25.5" x14ac:dyDescent="0.2">
      <c r="A182" s="868" t="s">
        <v>2706</v>
      </c>
      <c r="B182" s="861" t="s">
        <v>2794</v>
      </c>
      <c r="C182" s="862" t="s">
        <v>2742</v>
      </c>
      <c r="D182" s="907" t="s">
        <v>2669</v>
      </c>
      <c r="E182" s="863">
        <v>0</v>
      </c>
      <c r="F182" s="864">
        <v>44939</v>
      </c>
      <c r="G182" s="865" t="s">
        <v>2761</v>
      </c>
      <c r="H182" s="878" t="s">
        <v>3164</v>
      </c>
      <c r="I182" s="867">
        <v>44039</v>
      </c>
      <c r="J182" s="861" t="s">
        <v>3215</v>
      </c>
    </row>
    <row r="183" spans="1:10" s="870" customFormat="1" ht="25.5" x14ac:dyDescent="0.2">
      <c r="A183" s="868" t="s">
        <v>2706</v>
      </c>
      <c r="B183" s="861" t="s">
        <v>2794</v>
      </c>
      <c r="C183" s="862" t="s">
        <v>2743</v>
      </c>
      <c r="D183" s="907" t="s">
        <v>2669</v>
      </c>
      <c r="E183" s="863">
        <v>0</v>
      </c>
      <c r="F183" s="864">
        <v>44939</v>
      </c>
      <c r="G183" s="865" t="s">
        <v>2761</v>
      </c>
      <c r="H183" s="878" t="s">
        <v>3165</v>
      </c>
      <c r="I183" s="867">
        <v>44039</v>
      </c>
      <c r="J183" s="861" t="s">
        <v>3215</v>
      </c>
    </row>
    <row r="184" spans="1:10" s="870" customFormat="1" ht="25.5" x14ac:dyDescent="0.2">
      <c r="A184" s="868" t="s">
        <v>2706</v>
      </c>
      <c r="B184" s="861" t="s">
        <v>2794</v>
      </c>
      <c r="C184" s="862" t="s">
        <v>1832</v>
      </c>
      <c r="D184" s="907" t="s">
        <v>2669</v>
      </c>
      <c r="E184" s="863">
        <v>0</v>
      </c>
      <c r="F184" s="864">
        <v>44939</v>
      </c>
      <c r="G184" s="865" t="s">
        <v>2761</v>
      </c>
      <c r="H184" s="878" t="s">
        <v>3166</v>
      </c>
      <c r="I184" s="867">
        <v>44039</v>
      </c>
      <c r="J184" s="861" t="s">
        <v>3215</v>
      </c>
    </row>
    <row r="185" spans="1:10" s="870" customFormat="1" ht="25.5" x14ac:dyDescent="0.2">
      <c r="A185" s="868" t="s">
        <v>2706</v>
      </c>
      <c r="B185" s="861" t="s">
        <v>2794</v>
      </c>
      <c r="C185" s="862" t="s">
        <v>2744</v>
      </c>
      <c r="D185" s="907" t="s">
        <v>2669</v>
      </c>
      <c r="E185" s="863">
        <v>0</v>
      </c>
      <c r="F185" s="864">
        <v>44939</v>
      </c>
      <c r="G185" s="865" t="s">
        <v>2761</v>
      </c>
      <c r="H185" s="878" t="s">
        <v>3167</v>
      </c>
      <c r="I185" s="867">
        <v>44039</v>
      </c>
      <c r="J185" s="861" t="s">
        <v>3215</v>
      </c>
    </row>
    <row r="186" spans="1:10" s="870" customFormat="1" ht="25.5" x14ac:dyDescent="0.2">
      <c r="A186" s="868" t="s">
        <v>2706</v>
      </c>
      <c r="B186" s="861" t="s">
        <v>2794</v>
      </c>
      <c r="C186" s="862" t="s">
        <v>2745</v>
      </c>
      <c r="D186" s="907" t="s">
        <v>2669</v>
      </c>
      <c r="E186" s="863">
        <v>0</v>
      </c>
      <c r="F186" s="864">
        <v>44939</v>
      </c>
      <c r="G186" s="865" t="s">
        <v>2761</v>
      </c>
      <c r="H186" s="878" t="s">
        <v>3168</v>
      </c>
      <c r="I186" s="867">
        <v>44039</v>
      </c>
      <c r="J186" s="861" t="s">
        <v>3215</v>
      </c>
    </row>
    <row r="187" spans="1:10" s="870" customFormat="1" ht="25.5" x14ac:dyDescent="0.2">
      <c r="A187" s="868" t="s">
        <v>2706</v>
      </c>
      <c r="B187" s="861" t="s">
        <v>2794</v>
      </c>
      <c r="C187" s="862" t="s">
        <v>2746</v>
      </c>
      <c r="D187" s="907" t="s">
        <v>2669</v>
      </c>
      <c r="E187" s="863">
        <v>0</v>
      </c>
      <c r="F187" s="864">
        <v>44939</v>
      </c>
      <c r="G187" s="865" t="s">
        <v>2761</v>
      </c>
      <c r="H187" s="878" t="s">
        <v>3169</v>
      </c>
      <c r="I187" s="867">
        <v>44039</v>
      </c>
      <c r="J187" s="861" t="s">
        <v>3215</v>
      </c>
    </row>
    <row r="188" spans="1:10" s="870" customFormat="1" ht="25.5" x14ac:dyDescent="0.2">
      <c r="A188" s="868" t="s">
        <v>2706</v>
      </c>
      <c r="B188" s="861" t="s">
        <v>2794</v>
      </c>
      <c r="C188" s="862" t="s">
        <v>2747</v>
      </c>
      <c r="D188" s="907" t="s">
        <v>2669</v>
      </c>
      <c r="E188" s="863">
        <v>0</v>
      </c>
      <c r="F188" s="864">
        <v>44939</v>
      </c>
      <c r="G188" s="865" t="s">
        <v>2761</v>
      </c>
      <c r="H188" s="878" t="s">
        <v>3170</v>
      </c>
      <c r="I188" s="867">
        <v>44039</v>
      </c>
      <c r="J188" s="861" t="s">
        <v>3215</v>
      </c>
    </row>
    <row r="189" spans="1:10" s="870" customFormat="1" ht="25.5" x14ac:dyDescent="0.2">
      <c r="A189" s="868" t="s">
        <v>2706</v>
      </c>
      <c r="B189" s="861" t="s">
        <v>2794</v>
      </c>
      <c r="C189" s="862" t="s">
        <v>2748</v>
      </c>
      <c r="D189" s="907" t="s">
        <v>2669</v>
      </c>
      <c r="E189" s="863">
        <v>0</v>
      </c>
      <c r="F189" s="864">
        <v>44939</v>
      </c>
      <c r="G189" s="865" t="s">
        <v>2761</v>
      </c>
      <c r="H189" s="878" t="s">
        <v>3171</v>
      </c>
      <c r="I189" s="867">
        <v>44039</v>
      </c>
      <c r="J189" s="861" t="s">
        <v>3215</v>
      </c>
    </row>
    <row r="190" spans="1:10" s="870" customFormat="1" ht="25.5" x14ac:dyDescent="0.2">
      <c r="A190" s="868" t="s">
        <v>2706</v>
      </c>
      <c r="B190" s="861" t="s">
        <v>2794</v>
      </c>
      <c r="C190" s="862" t="s">
        <v>2749</v>
      </c>
      <c r="D190" s="907" t="s">
        <v>2669</v>
      </c>
      <c r="E190" s="863">
        <v>0</v>
      </c>
      <c r="F190" s="864">
        <v>44939</v>
      </c>
      <c r="G190" s="865" t="s">
        <v>2761</v>
      </c>
      <c r="H190" s="878" t="s">
        <v>3172</v>
      </c>
      <c r="I190" s="867">
        <v>44039</v>
      </c>
      <c r="J190" s="861" t="s">
        <v>3215</v>
      </c>
    </row>
    <row r="191" spans="1:10" s="870" customFormat="1" ht="25.5" x14ac:dyDescent="0.2">
      <c r="A191" s="868" t="s">
        <v>2706</v>
      </c>
      <c r="B191" s="861" t="s">
        <v>2794</v>
      </c>
      <c r="C191" s="862" t="s">
        <v>2750</v>
      </c>
      <c r="D191" s="907" t="s">
        <v>2669</v>
      </c>
      <c r="E191" s="863">
        <v>0</v>
      </c>
      <c r="F191" s="864">
        <v>44939</v>
      </c>
      <c r="G191" s="865" t="s">
        <v>2761</v>
      </c>
      <c r="H191" s="878" t="s">
        <v>3173</v>
      </c>
      <c r="I191" s="867">
        <v>44039</v>
      </c>
      <c r="J191" s="861" t="s">
        <v>3215</v>
      </c>
    </row>
    <row r="192" spans="1:10" s="870" customFormat="1" ht="25.5" x14ac:dyDescent="0.2">
      <c r="A192" s="868" t="s">
        <v>2706</v>
      </c>
      <c r="B192" s="861" t="s">
        <v>2794</v>
      </c>
      <c r="C192" s="862" t="s">
        <v>2751</v>
      </c>
      <c r="D192" s="907" t="s">
        <v>2669</v>
      </c>
      <c r="E192" s="863">
        <v>0</v>
      </c>
      <c r="F192" s="864">
        <v>44939</v>
      </c>
      <c r="G192" s="865" t="s">
        <v>2761</v>
      </c>
      <c r="H192" s="878" t="s">
        <v>3174</v>
      </c>
      <c r="I192" s="867">
        <v>44039</v>
      </c>
      <c r="J192" s="861" t="s">
        <v>3215</v>
      </c>
    </row>
    <row r="193" spans="1:10" s="870" customFormat="1" ht="25.5" x14ac:dyDescent="0.2">
      <c r="A193" s="868" t="s">
        <v>2706</v>
      </c>
      <c r="B193" s="861" t="s">
        <v>2794</v>
      </c>
      <c r="C193" s="862" t="s">
        <v>2752</v>
      </c>
      <c r="D193" s="907" t="s">
        <v>2669</v>
      </c>
      <c r="E193" s="863">
        <v>0</v>
      </c>
      <c r="F193" s="864">
        <v>44939</v>
      </c>
      <c r="G193" s="865" t="s">
        <v>2761</v>
      </c>
      <c r="H193" s="878" t="s">
        <v>3175</v>
      </c>
      <c r="I193" s="867">
        <v>44039</v>
      </c>
      <c r="J193" s="861" t="s">
        <v>3215</v>
      </c>
    </row>
    <row r="194" spans="1:10" s="870" customFormat="1" x14ac:dyDescent="0.2">
      <c r="A194" s="868" t="s">
        <v>2706</v>
      </c>
      <c r="B194" s="861" t="s">
        <v>2794</v>
      </c>
      <c r="C194" s="862" t="s">
        <v>2753</v>
      </c>
      <c r="D194" s="907" t="e">
        <f t="array" ref="D194">D194:D211Prestação de serviços de Correspondente junto a
                                                                                                                                                                                                                                                                GoiásFomento.</f>
        <v>#NAME?</v>
      </c>
      <c r="E194" s="863">
        <v>0</v>
      </c>
      <c r="F194" s="864">
        <v>44939</v>
      </c>
      <c r="G194" s="865" t="s">
        <v>2761</v>
      </c>
      <c r="H194" s="878" t="s">
        <v>3176</v>
      </c>
      <c r="I194" s="867">
        <v>44039</v>
      </c>
      <c r="J194" s="861" t="s">
        <v>3215</v>
      </c>
    </row>
    <row r="195" spans="1:10" s="870" customFormat="1" ht="25.5" x14ac:dyDescent="0.2">
      <c r="A195" s="868" t="s">
        <v>2706</v>
      </c>
      <c r="B195" s="861" t="s">
        <v>2794</v>
      </c>
      <c r="C195" s="862" t="s">
        <v>2754</v>
      </c>
      <c r="D195" s="907" t="s">
        <v>2669</v>
      </c>
      <c r="E195" s="863">
        <v>0</v>
      </c>
      <c r="F195" s="864">
        <v>44939</v>
      </c>
      <c r="G195" s="865" t="s">
        <v>2761</v>
      </c>
      <c r="H195" s="878" t="s">
        <v>3186</v>
      </c>
      <c r="I195" s="867">
        <v>44039</v>
      </c>
      <c r="J195" s="861" t="s">
        <v>3215</v>
      </c>
    </row>
    <row r="196" spans="1:10" s="870" customFormat="1" ht="25.5" x14ac:dyDescent="0.2">
      <c r="A196" s="868" t="s">
        <v>2706</v>
      </c>
      <c r="B196" s="861" t="s">
        <v>2794</v>
      </c>
      <c r="C196" s="862" t="s">
        <v>2755</v>
      </c>
      <c r="D196" s="907" t="s">
        <v>2669</v>
      </c>
      <c r="E196" s="863">
        <v>0</v>
      </c>
      <c r="F196" s="864">
        <v>44939</v>
      </c>
      <c r="G196" s="865" t="s">
        <v>2761</v>
      </c>
      <c r="H196" s="878" t="s">
        <v>3177</v>
      </c>
      <c r="I196" s="867">
        <v>44039</v>
      </c>
      <c r="J196" s="861" t="s">
        <v>3215</v>
      </c>
    </row>
    <row r="197" spans="1:10" s="870" customFormat="1" ht="25.5" x14ac:dyDescent="0.2">
      <c r="A197" s="868" t="s">
        <v>2706</v>
      </c>
      <c r="B197" s="861" t="s">
        <v>2794</v>
      </c>
      <c r="C197" s="862" t="s">
        <v>2756</v>
      </c>
      <c r="D197" s="907" t="s">
        <v>2669</v>
      </c>
      <c r="E197" s="863">
        <v>0</v>
      </c>
      <c r="F197" s="864">
        <v>44939</v>
      </c>
      <c r="G197" s="865" t="s">
        <v>2761</v>
      </c>
      <c r="H197" s="878" t="s">
        <v>3178</v>
      </c>
      <c r="I197" s="867">
        <v>44039</v>
      </c>
      <c r="J197" s="861" t="s">
        <v>3215</v>
      </c>
    </row>
    <row r="198" spans="1:10" s="870" customFormat="1" ht="25.5" x14ac:dyDescent="0.2">
      <c r="A198" s="868" t="s">
        <v>2706</v>
      </c>
      <c r="B198" s="861" t="s">
        <v>2794</v>
      </c>
      <c r="C198" s="862" t="s">
        <v>2215</v>
      </c>
      <c r="D198" s="907" t="s">
        <v>2669</v>
      </c>
      <c r="E198" s="863">
        <v>0</v>
      </c>
      <c r="F198" s="864">
        <v>44939</v>
      </c>
      <c r="G198" s="865" t="s">
        <v>2761</v>
      </c>
      <c r="H198" s="878" t="s">
        <v>3179</v>
      </c>
      <c r="I198" s="867">
        <v>44039</v>
      </c>
      <c r="J198" s="861" t="s">
        <v>3215</v>
      </c>
    </row>
    <row r="199" spans="1:10" s="870" customFormat="1" ht="25.5" x14ac:dyDescent="0.2">
      <c r="A199" s="868" t="s">
        <v>2706</v>
      </c>
      <c r="B199" s="861" t="s">
        <v>2794</v>
      </c>
      <c r="C199" s="862" t="s">
        <v>2757</v>
      </c>
      <c r="D199" s="907" t="s">
        <v>2669</v>
      </c>
      <c r="E199" s="863">
        <v>0</v>
      </c>
      <c r="F199" s="864">
        <v>44939</v>
      </c>
      <c r="G199" s="865" t="s">
        <v>2761</v>
      </c>
      <c r="H199" s="878" t="s">
        <v>3180</v>
      </c>
      <c r="I199" s="867">
        <v>44039</v>
      </c>
      <c r="J199" s="861" t="s">
        <v>3215</v>
      </c>
    </row>
    <row r="200" spans="1:10" s="870" customFormat="1" ht="38.25" customHeight="1" x14ac:dyDescent="0.2">
      <c r="A200" s="868" t="s">
        <v>2706</v>
      </c>
      <c r="B200" s="861" t="s">
        <v>2794</v>
      </c>
      <c r="C200" s="862" t="s">
        <v>1825</v>
      </c>
      <c r="D200" s="907" t="s">
        <v>2669</v>
      </c>
      <c r="E200" s="863">
        <v>0</v>
      </c>
      <c r="F200" s="864">
        <v>44939</v>
      </c>
      <c r="G200" s="865" t="s">
        <v>2761</v>
      </c>
      <c r="H200" s="878" t="s">
        <v>3181</v>
      </c>
      <c r="I200" s="867">
        <v>44039</v>
      </c>
      <c r="J200" s="861" t="s">
        <v>3215</v>
      </c>
    </row>
    <row r="201" spans="1:10" s="870" customFormat="1" ht="25.5" x14ac:dyDescent="0.2">
      <c r="A201" s="868" t="s">
        <v>2706</v>
      </c>
      <c r="B201" s="861" t="s">
        <v>2794</v>
      </c>
      <c r="C201" s="862" t="s">
        <v>2758</v>
      </c>
      <c r="D201" s="907" t="s">
        <v>2669</v>
      </c>
      <c r="E201" s="863">
        <v>0</v>
      </c>
      <c r="F201" s="864">
        <v>44939</v>
      </c>
      <c r="G201" s="865" t="s">
        <v>2761</v>
      </c>
      <c r="H201" s="878" t="s">
        <v>3182</v>
      </c>
      <c r="I201" s="867">
        <v>44039</v>
      </c>
      <c r="J201" s="861" t="s">
        <v>3215</v>
      </c>
    </row>
    <row r="202" spans="1:10" s="870" customFormat="1" ht="25.5" x14ac:dyDescent="0.2">
      <c r="A202" s="868" t="s">
        <v>2706</v>
      </c>
      <c r="B202" s="861" t="s">
        <v>2794</v>
      </c>
      <c r="C202" s="862" t="s">
        <v>2759</v>
      </c>
      <c r="D202" s="907" t="s">
        <v>2669</v>
      </c>
      <c r="E202" s="863">
        <v>0</v>
      </c>
      <c r="F202" s="864">
        <v>44939</v>
      </c>
      <c r="G202" s="865" t="s">
        <v>2761</v>
      </c>
      <c r="H202" s="878" t="s">
        <v>3183</v>
      </c>
      <c r="I202" s="867">
        <v>44039</v>
      </c>
      <c r="J202" s="861" t="s">
        <v>3215</v>
      </c>
    </row>
    <row r="203" spans="1:10" s="870" customFormat="1" ht="25.5" x14ac:dyDescent="0.2">
      <c r="A203" s="868" t="s">
        <v>2706</v>
      </c>
      <c r="B203" s="861" t="s">
        <v>2794</v>
      </c>
      <c r="C203" s="862" t="s">
        <v>1875</v>
      </c>
      <c r="D203" s="907" t="s">
        <v>2669</v>
      </c>
      <c r="E203" s="863">
        <v>0</v>
      </c>
      <c r="F203" s="864">
        <v>44939</v>
      </c>
      <c r="G203" s="865" t="s">
        <v>2761</v>
      </c>
      <c r="H203" s="878" t="s">
        <v>3184</v>
      </c>
      <c r="I203" s="867">
        <v>44039</v>
      </c>
      <c r="J203" s="861" t="s">
        <v>3215</v>
      </c>
    </row>
    <row r="204" spans="1:10" s="870" customFormat="1" ht="25.5" x14ac:dyDescent="0.2">
      <c r="A204" s="868" t="s">
        <v>2706</v>
      </c>
      <c r="B204" s="861" t="s">
        <v>2794</v>
      </c>
      <c r="C204" s="862" t="s">
        <v>2760</v>
      </c>
      <c r="D204" s="907" t="s">
        <v>2669</v>
      </c>
      <c r="E204" s="863">
        <v>0</v>
      </c>
      <c r="F204" s="864">
        <v>44939</v>
      </c>
      <c r="G204" s="865" t="s">
        <v>2761</v>
      </c>
      <c r="H204" s="878" t="s">
        <v>3185</v>
      </c>
      <c r="I204" s="867">
        <v>44039</v>
      </c>
      <c r="J204" s="861" t="s">
        <v>3215</v>
      </c>
    </row>
    <row r="205" spans="1:10" s="870" customFormat="1" ht="63.75" x14ac:dyDescent="0.2">
      <c r="A205" s="868" t="s">
        <v>2805</v>
      </c>
      <c r="B205" s="861" t="s">
        <v>2798</v>
      </c>
      <c r="C205" s="862" t="s">
        <v>2806</v>
      </c>
      <c r="D205" s="907" t="s">
        <v>2807</v>
      </c>
      <c r="E205" s="863">
        <v>24999.18</v>
      </c>
      <c r="F205" s="864">
        <v>44299</v>
      </c>
      <c r="G205" s="865" t="s">
        <v>2808</v>
      </c>
      <c r="H205" s="866" t="s">
        <v>2809</v>
      </c>
      <c r="I205" s="867">
        <v>44209</v>
      </c>
      <c r="J205" s="861" t="s">
        <v>3218</v>
      </c>
    </row>
    <row r="206" spans="1:10" s="870" customFormat="1" ht="56.25" x14ac:dyDescent="0.2">
      <c r="A206" s="868" t="s">
        <v>2815</v>
      </c>
      <c r="B206" s="861" t="s">
        <v>2810</v>
      </c>
      <c r="C206" s="862" t="s">
        <v>2811</v>
      </c>
      <c r="D206" s="910" t="s">
        <v>2812</v>
      </c>
      <c r="E206" s="891">
        <v>39300</v>
      </c>
      <c r="F206" s="864">
        <v>44392</v>
      </c>
      <c r="G206" s="865" t="s">
        <v>2813</v>
      </c>
      <c r="H206" s="866" t="s">
        <v>2814</v>
      </c>
      <c r="I206" s="867">
        <v>44211</v>
      </c>
      <c r="J206" s="861" t="s">
        <v>3218</v>
      </c>
    </row>
    <row r="207" spans="1:10" s="870" customFormat="1" ht="22.5" x14ac:dyDescent="0.2">
      <c r="A207" s="868" t="s">
        <v>2816</v>
      </c>
      <c r="B207" s="861" t="s">
        <v>2798</v>
      </c>
      <c r="C207" s="862" t="s">
        <v>2817</v>
      </c>
      <c r="D207" s="910" t="s">
        <v>2818</v>
      </c>
      <c r="E207" s="891">
        <v>49080</v>
      </c>
      <c r="F207" s="864">
        <v>44615</v>
      </c>
      <c r="G207" s="865" t="s">
        <v>2819</v>
      </c>
      <c r="H207" s="866" t="s">
        <v>2820</v>
      </c>
      <c r="I207" s="867">
        <v>44251</v>
      </c>
      <c r="J207" s="861" t="s">
        <v>3203</v>
      </c>
    </row>
    <row r="208" spans="1:10" s="870" customFormat="1" ht="33.75" x14ac:dyDescent="0.2">
      <c r="A208" s="895">
        <v>202000059001753</v>
      </c>
      <c r="B208" s="897" t="s">
        <v>2796</v>
      </c>
      <c r="C208" s="862" t="s">
        <v>2821</v>
      </c>
      <c r="D208" s="910" t="s">
        <v>2822</v>
      </c>
      <c r="E208" s="891">
        <v>188760</v>
      </c>
      <c r="F208" s="864">
        <v>44989</v>
      </c>
      <c r="G208" s="865" t="s">
        <v>2823</v>
      </c>
      <c r="H208" s="866" t="s">
        <v>2824</v>
      </c>
      <c r="I208" s="867">
        <v>44260</v>
      </c>
      <c r="J208" s="861" t="s">
        <v>3218</v>
      </c>
    </row>
    <row r="209" spans="1:10" ht="45" x14ac:dyDescent="0.2">
      <c r="A209" s="896">
        <v>202100059001264</v>
      </c>
      <c r="B209" s="898" t="s">
        <v>2825</v>
      </c>
      <c r="C209" s="862" t="s">
        <v>2826</v>
      </c>
      <c r="D209" s="910" t="s">
        <v>2827</v>
      </c>
      <c r="E209" s="891">
        <v>17964.54</v>
      </c>
      <c r="F209" s="892">
        <v>44634</v>
      </c>
      <c r="G209" s="865" t="s">
        <v>2828</v>
      </c>
      <c r="H209" s="866" t="s">
        <v>734</v>
      </c>
      <c r="I209" s="867">
        <v>44270</v>
      </c>
      <c r="J209" s="861" t="s">
        <v>3218</v>
      </c>
    </row>
    <row r="210" spans="1:10" ht="33.75" x14ac:dyDescent="0.2">
      <c r="A210" s="896">
        <v>202100059000434</v>
      </c>
      <c r="B210" s="898" t="s">
        <v>2829</v>
      </c>
      <c r="C210" s="862" t="s">
        <v>340</v>
      </c>
      <c r="D210" s="910" t="s">
        <v>2830</v>
      </c>
      <c r="E210" s="891">
        <v>27964.799999999999</v>
      </c>
      <c r="F210" s="864">
        <v>44684</v>
      </c>
      <c r="G210" s="865" t="s">
        <v>2831</v>
      </c>
      <c r="H210" s="866" t="s">
        <v>2832</v>
      </c>
      <c r="I210" s="867">
        <v>44320</v>
      </c>
      <c r="J210" s="861" t="s">
        <v>3203</v>
      </c>
    </row>
    <row r="211" spans="1:10" ht="33.75" x14ac:dyDescent="0.2">
      <c r="A211" s="899">
        <v>202100059000506</v>
      </c>
      <c r="B211" s="898" t="s">
        <v>2798</v>
      </c>
      <c r="C211" s="862" t="s">
        <v>2068</v>
      </c>
      <c r="D211" s="910" t="s">
        <v>2833</v>
      </c>
      <c r="E211" s="891">
        <v>13018.68</v>
      </c>
      <c r="F211" s="864">
        <v>44679</v>
      </c>
      <c r="G211" s="865" t="s">
        <v>2834</v>
      </c>
      <c r="H211" s="866" t="s">
        <v>2835</v>
      </c>
      <c r="I211" s="867">
        <v>44315</v>
      </c>
      <c r="J211" s="861" t="s">
        <v>3218</v>
      </c>
    </row>
    <row r="212" spans="1:10" ht="33.75" x14ac:dyDescent="0.2">
      <c r="A212" s="899">
        <v>202100059000690</v>
      </c>
      <c r="B212" s="898" t="s">
        <v>2798</v>
      </c>
      <c r="C212" s="862" t="s">
        <v>2836</v>
      </c>
      <c r="D212" s="910" t="s">
        <v>2837</v>
      </c>
      <c r="E212" s="890">
        <v>18000</v>
      </c>
      <c r="F212" s="864">
        <v>44596</v>
      </c>
      <c r="G212" s="865" t="s">
        <v>2838</v>
      </c>
      <c r="H212" s="866" t="s">
        <v>2839</v>
      </c>
      <c r="I212" s="867">
        <v>44321</v>
      </c>
      <c r="J212" s="861" t="s">
        <v>3204</v>
      </c>
    </row>
    <row r="213" spans="1:10" ht="50.25" customHeight="1" x14ac:dyDescent="0.2">
      <c r="A213" s="899">
        <v>2021000059000820</v>
      </c>
      <c r="B213" s="898" t="s">
        <v>2798</v>
      </c>
      <c r="C213" s="893" t="s">
        <v>2869</v>
      </c>
      <c r="D213" s="911" t="s">
        <v>2870</v>
      </c>
      <c r="E213" s="890">
        <v>49300</v>
      </c>
      <c r="F213" s="864">
        <v>44373</v>
      </c>
      <c r="G213" s="865" t="s">
        <v>2871</v>
      </c>
      <c r="H213" s="866" t="s">
        <v>2872</v>
      </c>
      <c r="I213" s="867">
        <v>44343</v>
      </c>
      <c r="J213" s="861" t="s">
        <v>3218</v>
      </c>
    </row>
    <row r="214" spans="1:10" ht="33.75" x14ac:dyDescent="0.2">
      <c r="A214" s="899">
        <v>202100059000161</v>
      </c>
      <c r="B214" s="898" t="s">
        <v>2863</v>
      </c>
      <c r="C214" s="862" t="s">
        <v>2864</v>
      </c>
      <c r="D214" s="911" t="s">
        <v>2865</v>
      </c>
      <c r="E214" s="891">
        <v>23300.639999999999</v>
      </c>
      <c r="F214" s="864">
        <v>44561</v>
      </c>
      <c r="G214" s="865" t="s">
        <v>2866</v>
      </c>
      <c r="H214" s="866" t="s">
        <v>2867</v>
      </c>
      <c r="I214" s="867">
        <v>44347</v>
      </c>
      <c r="J214" s="861" t="s">
        <v>3200</v>
      </c>
    </row>
    <row r="215" spans="1:10" ht="78.75" x14ac:dyDescent="0.2">
      <c r="A215" s="899">
        <v>202100059000741</v>
      </c>
      <c r="B215" s="898" t="s">
        <v>2797</v>
      </c>
      <c r="C215" s="862" t="s">
        <v>2868</v>
      </c>
      <c r="D215" s="907" t="s">
        <v>2840</v>
      </c>
      <c r="E215" s="900" t="s">
        <v>2841</v>
      </c>
      <c r="F215" s="864">
        <v>44701</v>
      </c>
      <c r="G215" s="865" t="s">
        <v>2842</v>
      </c>
      <c r="H215" s="866" t="s">
        <v>2843</v>
      </c>
      <c r="I215" s="867">
        <v>44398</v>
      </c>
      <c r="J215" s="861" t="s">
        <v>3219</v>
      </c>
    </row>
    <row r="216" spans="1:10" ht="25.5" x14ac:dyDescent="0.2">
      <c r="A216" s="899">
        <v>202000059001102</v>
      </c>
      <c r="B216" s="898" t="s">
        <v>2844</v>
      </c>
      <c r="C216" s="862" t="s">
        <v>2845</v>
      </c>
      <c r="D216" s="911" t="s">
        <v>2846</v>
      </c>
      <c r="E216" s="891">
        <v>134310</v>
      </c>
      <c r="F216" s="864" t="s">
        <v>2847</v>
      </c>
      <c r="G216" s="865" t="s">
        <v>2849</v>
      </c>
      <c r="H216" s="866" t="s">
        <v>2848</v>
      </c>
      <c r="I216" s="867">
        <v>44263</v>
      </c>
      <c r="J216" s="861" t="s">
        <v>3204</v>
      </c>
    </row>
    <row r="217" spans="1:10" ht="25.5" x14ac:dyDescent="0.2">
      <c r="A217" s="899">
        <v>202000059001102</v>
      </c>
      <c r="B217" s="898" t="s">
        <v>2844</v>
      </c>
      <c r="C217" s="862" t="s">
        <v>2850</v>
      </c>
      <c r="D217" s="907" t="s">
        <v>2851</v>
      </c>
      <c r="E217" s="891">
        <v>18960</v>
      </c>
      <c r="F217" s="864" t="s">
        <v>2852</v>
      </c>
      <c r="G217" s="865" t="s">
        <v>2853</v>
      </c>
      <c r="H217" s="866" t="s">
        <v>2854</v>
      </c>
      <c r="I217" s="867">
        <v>44263</v>
      </c>
      <c r="J217" s="861" t="s">
        <v>3204</v>
      </c>
    </row>
    <row r="218" spans="1:10" ht="25.5" x14ac:dyDescent="0.2">
      <c r="A218" s="899">
        <v>202000059001803</v>
      </c>
      <c r="B218" s="898" t="s">
        <v>2855</v>
      </c>
      <c r="C218" s="862" t="s">
        <v>2856</v>
      </c>
      <c r="D218" s="912" t="s">
        <v>2857</v>
      </c>
      <c r="E218" s="890">
        <v>45237</v>
      </c>
      <c r="F218" s="864" t="s">
        <v>2858</v>
      </c>
      <c r="G218" s="865" t="s">
        <v>2862</v>
      </c>
      <c r="H218" s="866" t="s">
        <v>2859</v>
      </c>
      <c r="I218" s="867">
        <v>44299</v>
      </c>
      <c r="J218" s="861" t="s">
        <v>3218</v>
      </c>
    </row>
    <row r="219" spans="1:10" ht="25.5" x14ac:dyDescent="0.2">
      <c r="A219" s="899">
        <v>202000059001803</v>
      </c>
      <c r="B219" s="898" t="s">
        <v>2855</v>
      </c>
      <c r="C219" s="862" t="s">
        <v>2860</v>
      </c>
      <c r="D219" s="907" t="s">
        <v>2857</v>
      </c>
      <c r="E219" s="863">
        <v>27965</v>
      </c>
      <c r="F219" s="864" t="s">
        <v>2858</v>
      </c>
      <c r="G219" s="865" t="s">
        <v>2862</v>
      </c>
      <c r="H219" s="866" t="s">
        <v>2861</v>
      </c>
      <c r="I219" s="867">
        <v>44301</v>
      </c>
      <c r="J219" s="861" t="s">
        <v>3200</v>
      </c>
    </row>
    <row r="220" spans="1:10" ht="63.75" x14ac:dyDescent="0.2">
      <c r="A220" s="899">
        <v>202100059000213</v>
      </c>
      <c r="B220" s="898" t="s">
        <v>2873</v>
      </c>
      <c r="C220" s="915" t="s">
        <v>2874</v>
      </c>
      <c r="D220" s="907" t="s">
        <v>2875</v>
      </c>
      <c r="E220" s="914" t="s">
        <v>2918</v>
      </c>
      <c r="F220" s="864">
        <v>45408</v>
      </c>
      <c r="G220" s="865" t="s">
        <v>2877</v>
      </c>
      <c r="H220" s="866" t="s">
        <v>2876</v>
      </c>
      <c r="I220" s="867">
        <v>44313</v>
      </c>
      <c r="J220" s="861" t="s">
        <v>3205</v>
      </c>
    </row>
    <row r="221" spans="1:10" ht="85.5" x14ac:dyDescent="0.2">
      <c r="A221" s="899">
        <v>202100059000213</v>
      </c>
      <c r="B221" s="898" t="s">
        <v>2873</v>
      </c>
      <c r="C221" s="917" t="s">
        <v>2878</v>
      </c>
      <c r="D221" s="922" t="s">
        <v>2879</v>
      </c>
      <c r="E221" s="918" t="s">
        <v>2918</v>
      </c>
      <c r="F221" s="864">
        <v>45408</v>
      </c>
      <c r="G221" s="865" t="s">
        <v>2877</v>
      </c>
      <c r="H221" s="866" t="s">
        <v>2880</v>
      </c>
      <c r="I221" s="867">
        <v>44313</v>
      </c>
      <c r="J221" s="861" t="s">
        <v>3205</v>
      </c>
    </row>
    <row r="222" spans="1:10" ht="85.5" x14ac:dyDescent="0.2">
      <c r="A222" s="899">
        <v>202100059000213</v>
      </c>
      <c r="B222" s="898" t="s">
        <v>2873</v>
      </c>
      <c r="C222" s="917" t="s">
        <v>2881</v>
      </c>
      <c r="D222" s="922" t="s">
        <v>2879</v>
      </c>
      <c r="E222" s="918" t="s">
        <v>2918</v>
      </c>
      <c r="F222" s="864">
        <v>45408</v>
      </c>
      <c r="G222" s="865" t="s">
        <v>2877</v>
      </c>
      <c r="H222" s="867" t="s">
        <v>723</v>
      </c>
      <c r="I222" s="867">
        <v>44313</v>
      </c>
      <c r="J222" s="861" t="s">
        <v>3205</v>
      </c>
    </row>
    <row r="223" spans="1:10" ht="85.5" x14ac:dyDescent="0.2">
      <c r="A223" s="899">
        <v>202100059000213</v>
      </c>
      <c r="B223" s="898" t="s">
        <v>2873</v>
      </c>
      <c r="C223" s="917" t="s">
        <v>2882</v>
      </c>
      <c r="D223" s="922" t="s">
        <v>2879</v>
      </c>
      <c r="E223" s="918" t="s">
        <v>2918</v>
      </c>
      <c r="F223" s="864">
        <v>45408</v>
      </c>
      <c r="G223" s="865" t="s">
        <v>2877</v>
      </c>
      <c r="H223" s="866" t="s">
        <v>2883</v>
      </c>
      <c r="I223" s="867">
        <v>44313</v>
      </c>
      <c r="J223" s="861" t="s">
        <v>3205</v>
      </c>
    </row>
    <row r="224" spans="1:10" ht="85.5" x14ac:dyDescent="0.2">
      <c r="A224" s="899">
        <v>202100059000213</v>
      </c>
      <c r="B224" s="898" t="s">
        <v>2873</v>
      </c>
      <c r="C224" s="917" t="s">
        <v>2884</v>
      </c>
      <c r="D224" s="922" t="s">
        <v>2879</v>
      </c>
      <c r="E224" s="918" t="s">
        <v>2918</v>
      </c>
      <c r="F224" s="864">
        <v>45408</v>
      </c>
      <c r="G224" s="865" t="s">
        <v>2877</v>
      </c>
      <c r="H224" s="866" t="s">
        <v>2885</v>
      </c>
      <c r="I224" s="867">
        <v>44313</v>
      </c>
      <c r="J224" s="861" t="s">
        <v>3205</v>
      </c>
    </row>
    <row r="225" spans="1:10" ht="85.5" x14ac:dyDescent="0.2">
      <c r="A225" s="899">
        <v>202100059000213</v>
      </c>
      <c r="B225" s="898" t="s">
        <v>2873</v>
      </c>
      <c r="C225" s="917" t="s">
        <v>2886</v>
      </c>
      <c r="D225" s="922" t="s">
        <v>2879</v>
      </c>
      <c r="E225" s="918" t="s">
        <v>2918</v>
      </c>
      <c r="F225" s="864">
        <v>45408</v>
      </c>
      <c r="G225" s="865" t="s">
        <v>2877</v>
      </c>
      <c r="H225" s="866" t="s">
        <v>2887</v>
      </c>
      <c r="I225" s="867">
        <v>44313</v>
      </c>
      <c r="J225" s="861" t="s">
        <v>3205</v>
      </c>
    </row>
    <row r="226" spans="1:10" ht="85.5" x14ac:dyDescent="0.2">
      <c r="A226" s="899">
        <v>202100059000213</v>
      </c>
      <c r="B226" s="898" t="s">
        <v>2873</v>
      </c>
      <c r="C226" s="917" t="s">
        <v>2888</v>
      </c>
      <c r="D226" s="922" t="s">
        <v>2879</v>
      </c>
      <c r="E226" s="918" t="s">
        <v>2918</v>
      </c>
      <c r="F226" s="864">
        <v>45408</v>
      </c>
      <c r="G226" s="865" t="s">
        <v>2877</v>
      </c>
      <c r="H226" s="866" t="s">
        <v>2889</v>
      </c>
      <c r="I226" s="902">
        <v>44313</v>
      </c>
      <c r="J226" s="861" t="s">
        <v>3205</v>
      </c>
    </row>
    <row r="227" spans="1:10" ht="63.75" x14ac:dyDescent="0.2">
      <c r="A227" s="899">
        <v>202100059000213</v>
      </c>
      <c r="B227" s="898" t="s">
        <v>2873</v>
      </c>
      <c r="C227" s="917" t="s">
        <v>2890</v>
      </c>
      <c r="D227" s="907" t="s">
        <v>2875</v>
      </c>
      <c r="E227" s="918" t="s">
        <v>2918</v>
      </c>
      <c r="F227" s="864">
        <v>45408</v>
      </c>
      <c r="G227" s="865" t="s">
        <v>2877</v>
      </c>
      <c r="H227" s="866" t="s">
        <v>2891</v>
      </c>
      <c r="I227" s="867">
        <v>44313</v>
      </c>
      <c r="J227" s="861" t="s">
        <v>3205</v>
      </c>
    </row>
    <row r="228" spans="1:10" ht="63.75" x14ac:dyDescent="0.2">
      <c r="A228" s="903">
        <v>202100059000213</v>
      </c>
      <c r="B228" s="898" t="s">
        <v>2873</v>
      </c>
      <c r="C228" s="917" t="s">
        <v>2892</v>
      </c>
      <c r="D228" s="907" t="s">
        <v>2875</v>
      </c>
      <c r="E228" s="918" t="s">
        <v>2918</v>
      </c>
      <c r="F228" s="864">
        <v>45408</v>
      </c>
      <c r="G228" s="865" t="s">
        <v>2877</v>
      </c>
      <c r="H228" s="866" t="s">
        <v>2893</v>
      </c>
      <c r="I228" s="867">
        <v>44313</v>
      </c>
      <c r="J228" s="861" t="s">
        <v>3205</v>
      </c>
    </row>
    <row r="229" spans="1:10" ht="85.5" x14ac:dyDescent="0.2">
      <c r="A229" s="899">
        <v>202100059000213</v>
      </c>
      <c r="B229" s="898" t="s">
        <v>2873</v>
      </c>
      <c r="C229" s="917" t="s">
        <v>2894</v>
      </c>
      <c r="D229" s="922" t="s">
        <v>2879</v>
      </c>
      <c r="E229" s="919" t="s">
        <v>2918</v>
      </c>
      <c r="F229" s="864">
        <v>45408</v>
      </c>
      <c r="G229" s="865" t="s">
        <v>2877</v>
      </c>
      <c r="H229" s="866" t="s">
        <v>2895</v>
      </c>
      <c r="I229" s="867">
        <v>44313</v>
      </c>
      <c r="J229" s="861" t="s">
        <v>3205</v>
      </c>
    </row>
    <row r="230" spans="1:10" ht="85.5" x14ac:dyDescent="0.2">
      <c r="A230" s="899">
        <v>202100059000213</v>
      </c>
      <c r="B230" s="898" t="s">
        <v>2873</v>
      </c>
      <c r="C230" s="917" t="s">
        <v>2896</v>
      </c>
      <c r="D230" s="922" t="s">
        <v>2879</v>
      </c>
      <c r="E230" s="918" t="s">
        <v>2918</v>
      </c>
      <c r="F230" s="864">
        <v>45408</v>
      </c>
      <c r="G230" s="865" t="s">
        <v>2877</v>
      </c>
      <c r="H230" s="866" t="s">
        <v>2898</v>
      </c>
      <c r="I230" s="867">
        <v>44313</v>
      </c>
      <c r="J230" s="861" t="s">
        <v>3205</v>
      </c>
    </row>
    <row r="231" spans="1:10" ht="63.75" x14ac:dyDescent="0.2">
      <c r="A231" s="899">
        <v>202100059000213</v>
      </c>
      <c r="B231" s="898" t="s">
        <v>2873</v>
      </c>
      <c r="C231" s="917" t="s">
        <v>2897</v>
      </c>
      <c r="D231" s="907" t="s">
        <v>2875</v>
      </c>
      <c r="E231" s="918" t="s">
        <v>2918</v>
      </c>
      <c r="F231" s="864">
        <v>45408</v>
      </c>
      <c r="G231" s="865" t="s">
        <v>2877</v>
      </c>
      <c r="H231" s="866" t="s">
        <v>2899</v>
      </c>
      <c r="I231" s="867">
        <v>44313</v>
      </c>
      <c r="J231" s="861" t="s">
        <v>3205</v>
      </c>
    </row>
    <row r="232" spans="1:10" ht="63.75" x14ac:dyDescent="0.2">
      <c r="A232" s="899">
        <v>202100059000213</v>
      </c>
      <c r="B232" s="898" t="s">
        <v>2873</v>
      </c>
      <c r="C232" s="917" t="s">
        <v>2900</v>
      </c>
      <c r="D232" s="907" t="s">
        <v>2875</v>
      </c>
      <c r="E232" s="918" t="s">
        <v>2918</v>
      </c>
      <c r="F232" s="864">
        <v>45408</v>
      </c>
      <c r="G232" s="865" t="s">
        <v>2877</v>
      </c>
      <c r="H232" s="866" t="s">
        <v>2901</v>
      </c>
      <c r="I232" s="905">
        <v>44313</v>
      </c>
      <c r="J232" s="904" t="s">
        <v>3205</v>
      </c>
    </row>
    <row r="233" spans="1:10" ht="63.75" x14ac:dyDescent="0.2">
      <c r="A233" s="901">
        <v>202100059000213</v>
      </c>
      <c r="B233" s="898" t="s">
        <v>2873</v>
      </c>
      <c r="C233" s="917" t="s">
        <v>2902</v>
      </c>
      <c r="D233" s="907" t="s">
        <v>2875</v>
      </c>
      <c r="E233" s="918" t="s">
        <v>2918</v>
      </c>
      <c r="F233" s="864">
        <v>45408</v>
      </c>
      <c r="G233" s="865" t="s">
        <v>2877</v>
      </c>
      <c r="H233" s="866" t="s">
        <v>2903</v>
      </c>
      <c r="I233" s="867">
        <v>44313</v>
      </c>
      <c r="J233" s="861" t="s">
        <v>3205</v>
      </c>
    </row>
    <row r="234" spans="1:10" ht="63.75" x14ac:dyDescent="0.2">
      <c r="A234" s="899">
        <v>202100059000213</v>
      </c>
      <c r="B234" s="898" t="s">
        <v>2873</v>
      </c>
      <c r="C234" s="917" t="s">
        <v>2904</v>
      </c>
      <c r="D234" s="913" t="s">
        <v>2875</v>
      </c>
      <c r="E234" s="918" t="s">
        <v>2918</v>
      </c>
      <c r="F234" s="864">
        <v>45408</v>
      </c>
      <c r="G234" s="865" t="s">
        <v>2877</v>
      </c>
      <c r="H234" s="866" t="s">
        <v>2905</v>
      </c>
      <c r="I234" s="867">
        <v>44313</v>
      </c>
      <c r="J234" s="861" t="s">
        <v>3205</v>
      </c>
    </row>
    <row r="235" spans="1:10" ht="63.75" x14ac:dyDescent="0.2">
      <c r="A235" s="899">
        <v>202100059000213</v>
      </c>
      <c r="B235" s="899" t="s">
        <v>2873</v>
      </c>
      <c r="C235" s="917" t="s">
        <v>2906</v>
      </c>
      <c r="D235" s="907" t="s">
        <v>2875</v>
      </c>
      <c r="E235" s="918" t="s">
        <v>2918</v>
      </c>
      <c r="F235" s="864">
        <v>45408</v>
      </c>
      <c r="G235" s="865" t="s">
        <v>2877</v>
      </c>
      <c r="H235" s="867" t="s">
        <v>2907</v>
      </c>
      <c r="I235" s="867">
        <v>44313</v>
      </c>
      <c r="J235" s="861" t="s">
        <v>3205</v>
      </c>
    </row>
    <row r="236" spans="1:10" ht="63.75" x14ac:dyDescent="0.2">
      <c r="A236" s="899">
        <v>202100059000213</v>
      </c>
      <c r="B236" s="898" t="s">
        <v>2873</v>
      </c>
      <c r="C236" s="917" t="s">
        <v>2908</v>
      </c>
      <c r="D236" s="907" t="s">
        <v>2875</v>
      </c>
      <c r="E236" s="918" t="s">
        <v>2918</v>
      </c>
      <c r="F236" s="864">
        <v>45408</v>
      </c>
      <c r="G236" s="865" t="s">
        <v>2877</v>
      </c>
      <c r="H236" s="866" t="s">
        <v>2909</v>
      </c>
      <c r="I236" s="867">
        <v>44313</v>
      </c>
      <c r="J236" s="861" t="s">
        <v>3205</v>
      </c>
    </row>
    <row r="237" spans="1:10" ht="63.75" x14ac:dyDescent="0.2">
      <c r="A237" s="899">
        <v>202100059000213</v>
      </c>
      <c r="B237" s="898" t="s">
        <v>2873</v>
      </c>
      <c r="C237" s="917" t="s">
        <v>2910</v>
      </c>
      <c r="D237" s="907" t="s">
        <v>2875</v>
      </c>
      <c r="E237" s="918" t="s">
        <v>2918</v>
      </c>
      <c r="F237" s="864">
        <v>45408</v>
      </c>
      <c r="G237" s="865" t="s">
        <v>2877</v>
      </c>
      <c r="H237" s="866" t="s">
        <v>2911</v>
      </c>
      <c r="I237" s="867">
        <v>44313</v>
      </c>
      <c r="J237" s="861" t="s">
        <v>3205</v>
      </c>
    </row>
    <row r="238" spans="1:10" ht="63.75" x14ac:dyDescent="0.2">
      <c r="A238" s="899">
        <v>202100059000213</v>
      </c>
      <c r="B238" s="898" t="s">
        <v>2873</v>
      </c>
      <c r="C238" s="917" t="s">
        <v>2912</v>
      </c>
      <c r="D238" s="907" t="s">
        <v>2875</v>
      </c>
      <c r="E238" s="918" t="s">
        <v>2918</v>
      </c>
      <c r="F238" s="864">
        <v>45408</v>
      </c>
      <c r="G238" s="865" t="s">
        <v>2877</v>
      </c>
      <c r="H238" s="866" t="s">
        <v>2913</v>
      </c>
      <c r="I238" s="867">
        <v>44313</v>
      </c>
      <c r="J238" s="861" t="s">
        <v>3217</v>
      </c>
    </row>
    <row r="239" spans="1:10" ht="63.75" x14ac:dyDescent="0.2">
      <c r="A239" s="899">
        <v>202100059000213</v>
      </c>
      <c r="B239" s="898" t="s">
        <v>2873</v>
      </c>
      <c r="C239" s="917" t="s">
        <v>2914</v>
      </c>
      <c r="D239" s="907" t="s">
        <v>2875</v>
      </c>
      <c r="E239" s="918" t="s">
        <v>2918</v>
      </c>
      <c r="F239" s="864">
        <v>45408</v>
      </c>
      <c r="G239" s="865" t="s">
        <v>2877</v>
      </c>
      <c r="H239" s="866" t="s">
        <v>2915</v>
      </c>
      <c r="I239" s="905">
        <v>44313</v>
      </c>
      <c r="J239" s="861" t="s">
        <v>3205</v>
      </c>
    </row>
    <row r="240" spans="1:10" ht="63.75" x14ac:dyDescent="0.2">
      <c r="A240" s="899">
        <v>202100059000213</v>
      </c>
      <c r="B240" s="898" t="s">
        <v>2873</v>
      </c>
      <c r="C240" s="917" t="s">
        <v>2916</v>
      </c>
      <c r="D240" s="907" t="s">
        <v>2875</v>
      </c>
      <c r="E240" s="918" t="s">
        <v>2918</v>
      </c>
      <c r="F240" s="864">
        <v>45408</v>
      </c>
      <c r="G240" s="865" t="s">
        <v>2877</v>
      </c>
      <c r="H240" s="866" t="s">
        <v>2917</v>
      </c>
      <c r="I240" s="867">
        <v>44313</v>
      </c>
      <c r="J240" s="861" t="s">
        <v>3205</v>
      </c>
    </row>
    <row r="241" spans="1:10" ht="75" x14ac:dyDescent="0.2">
      <c r="A241" s="899">
        <v>202100059000098</v>
      </c>
      <c r="B241" s="898" t="s">
        <v>2919</v>
      </c>
      <c r="C241" s="917" t="s">
        <v>2920</v>
      </c>
      <c r="D241" s="923" t="s">
        <v>2921</v>
      </c>
      <c r="E241" s="918" t="s">
        <v>2918</v>
      </c>
      <c r="F241" s="864">
        <v>45450</v>
      </c>
      <c r="G241" s="865" t="s">
        <v>2922</v>
      </c>
      <c r="H241" s="866" t="s">
        <v>2923</v>
      </c>
      <c r="I241" s="867">
        <v>44355</v>
      </c>
      <c r="J241" s="861" t="s">
        <v>3200</v>
      </c>
    </row>
    <row r="242" spans="1:10" ht="51" x14ac:dyDescent="0.2">
      <c r="A242" s="899">
        <v>202100059000098</v>
      </c>
      <c r="B242" s="898" t="s">
        <v>2919</v>
      </c>
      <c r="C242" s="917" t="s">
        <v>2924</v>
      </c>
      <c r="D242" s="907" t="s">
        <v>2921</v>
      </c>
      <c r="E242" s="920" t="s">
        <v>2918</v>
      </c>
      <c r="F242" s="864">
        <v>45450</v>
      </c>
      <c r="G242" s="865" t="s">
        <v>2922</v>
      </c>
      <c r="H242" s="866" t="s">
        <v>2925</v>
      </c>
      <c r="I242" s="867">
        <v>44355</v>
      </c>
      <c r="J242" s="861" t="s">
        <v>3200</v>
      </c>
    </row>
    <row r="243" spans="1:10" ht="51" x14ac:dyDescent="0.2">
      <c r="A243" s="899">
        <v>202100059000098</v>
      </c>
      <c r="B243" s="898" t="s">
        <v>2919</v>
      </c>
      <c r="C243" s="917" t="s">
        <v>2926</v>
      </c>
      <c r="D243" s="907" t="s">
        <v>2921</v>
      </c>
      <c r="E243" s="918" t="s">
        <v>2927</v>
      </c>
      <c r="F243" s="864">
        <v>45450</v>
      </c>
      <c r="G243" s="865" t="s">
        <v>2922</v>
      </c>
      <c r="H243" s="866" t="s">
        <v>2928</v>
      </c>
      <c r="I243" s="867">
        <v>44355</v>
      </c>
      <c r="J243" s="861" t="s">
        <v>3200</v>
      </c>
    </row>
    <row r="244" spans="1:10" ht="51" x14ac:dyDescent="0.2">
      <c r="A244" s="899">
        <v>202100059000098</v>
      </c>
      <c r="B244" s="898" t="s">
        <v>2919</v>
      </c>
      <c r="C244" s="917" t="s">
        <v>2929</v>
      </c>
      <c r="D244" s="907" t="s">
        <v>2921</v>
      </c>
      <c r="E244" s="918" t="s">
        <v>2918</v>
      </c>
      <c r="F244" s="864">
        <v>45450</v>
      </c>
      <c r="G244" s="865" t="s">
        <v>2922</v>
      </c>
      <c r="H244" s="866" t="s">
        <v>2930</v>
      </c>
      <c r="I244" s="905">
        <v>44355</v>
      </c>
      <c r="J244" s="904" t="s">
        <v>3200</v>
      </c>
    </row>
    <row r="245" spans="1:10" ht="51" x14ac:dyDescent="0.2">
      <c r="A245" s="901">
        <v>202100059000098</v>
      </c>
      <c r="B245" s="898" t="s">
        <v>2919</v>
      </c>
      <c r="C245" s="917" t="s">
        <v>2931</v>
      </c>
      <c r="D245" s="907" t="s">
        <v>2921</v>
      </c>
      <c r="E245" s="918" t="s">
        <v>2918</v>
      </c>
      <c r="F245" s="864">
        <v>45450</v>
      </c>
      <c r="G245" s="865" t="s">
        <v>2932</v>
      </c>
      <c r="H245" s="866" t="s">
        <v>2933</v>
      </c>
      <c r="I245" s="867">
        <v>44355</v>
      </c>
      <c r="J245" s="861" t="s">
        <v>3200</v>
      </c>
    </row>
    <row r="246" spans="1:10" ht="51" x14ac:dyDescent="0.2">
      <c r="A246" s="899">
        <v>202100059000098</v>
      </c>
      <c r="B246" s="898" t="s">
        <v>2919</v>
      </c>
      <c r="C246" s="917" t="s">
        <v>2934</v>
      </c>
      <c r="D246" s="907" t="s">
        <v>2921</v>
      </c>
      <c r="E246" s="918" t="s">
        <v>2918</v>
      </c>
      <c r="F246" s="864">
        <v>45450</v>
      </c>
      <c r="G246" s="865" t="s">
        <v>2922</v>
      </c>
      <c r="H246" s="866" t="s">
        <v>2935</v>
      </c>
      <c r="I246" s="867">
        <v>44355</v>
      </c>
      <c r="J246" s="861" t="s">
        <v>3200</v>
      </c>
    </row>
    <row r="247" spans="1:10" ht="51" x14ac:dyDescent="0.2">
      <c r="A247" s="899">
        <v>202100059000098</v>
      </c>
      <c r="B247" s="899" t="s">
        <v>2919</v>
      </c>
      <c r="C247" s="917" t="s">
        <v>2936</v>
      </c>
      <c r="D247" s="907" t="s">
        <v>2921</v>
      </c>
      <c r="E247" s="918" t="s">
        <v>2918</v>
      </c>
      <c r="F247" s="864">
        <v>45450</v>
      </c>
      <c r="G247" s="865" t="s">
        <v>2922</v>
      </c>
      <c r="H247" s="867" t="s">
        <v>2937</v>
      </c>
      <c r="I247" s="867">
        <v>44355</v>
      </c>
      <c r="J247" s="861" t="s">
        <v>3200</v>
      </c>
    </row>
    <row r="248" spans="1:10" ht="51" x14ac:dyDescent="0.2">
      <c r="A248" s="899">
        <v>202100059000098</v>
      </c>
      <c r="B248" s="898" t="s">
        <v>2919</v>
      </c>
      <c r="C248" s="917" t="s">
        <v>2938</v>
      </c>
      <c r="D248" s="907" t="s">
        <v>2921</v>
      </c>
      <c r="E248" s="918" t="s">
        <v>2918</v>
      </c>
      <c r="F248" s="864">
        <v>45450</v>
      </c>
      <c r="G248" s="865" t="s">
        <v>2922</v>
      </c>
      <c r="H248" s="866" t="s">
        <v>2939</v>
      </c>
      <c r="I248" s="867">
        <v>44355</v>
      </c>
      <c r="J248" s="861" t="s">
        <v>3200</v>
      </c>
    </row>
    <row r="249" spans="1:10" ht="51" x14ac:dyDescent="0.2">
      <c r="A249" s="899">
        <v>202100059000098</v>
      </c>
      <c r="B249" s="898" t="s">
        <v>2919</v>
      </c>
      <c r="C249" s="917" t="s">
        <v>2940</v>
      </c>
      <c r="D249" s="907" t="s">
        <v>2921</v>
      </c>
      <c r="E249" s="918" t="s">
        <v>2918</v>
      </c>
      <c r="F249" s="864">
        <v>45450</v>
      </c>
      <c r="G249" s="865" t="s">
        <v>2941</v>
      </c>
      <c r="H249" s="866" t="s">
        <v>2942</v>
      </c>
      <c r="I249" s="867">
        <v>44355</v>
      </c>
      <c r="J249" s="861" t="s">
        <v>3200</v>
      </c>
    </row>
    <row r="250" spans="1:10" ht="51" x14ac:dyDescent="0.2">
      <c r="A250" s="899">
        <v>202100059000098</v>
      </c>
      <c r="B250" s="898" t="s">
        <v>2919</v>
      </c>
      <c r="C250" s="917" t="s">
        <v>2943</v>
      </c>
      <c r="D250" s="907" t="s">
        <v>2921</v>
      </c>
      <c r="E250" s="918" t="s">
        <v>2918</v>
      </c>
      <c r="F250" s="864">
        <v>45450</v>
      </c>
      <c r="G250" s="865" t="s">
        <v>2922</v>
      </c>
      <c r="H250" s="866" t="s">
        <v>2944</v>
      </c>
      <c r="I250" s="867">
        <v>44355</v>
      </c>
      <c r="J250" s="861" t="s">
        <v>3200</v>
      </c>
    </row>
    <row r="251" spans="1:10" ht="51" x14ac:dyDescent="0.2">
      <c r="A251" s="899">
        <v>202100059000098</v>
      </c>
      <c r="B251" s="898" t="s">
        <v>2919</v>
      </c>
      <c r="C251" s="917" t="s">
        <v>2945</v>
      </c>
      <c r="D251" s="907" t="s">
        <v>2921</v>
      </c>
      <c r="E251" s="918" t="s">
        <v>2918</v>
      </c>
      <c r="F251" s="864">
        <v>45450</v>
      </c>
      <c r="G251" s="865" t="s">
        <v>2922</v>
      </c>
      <c r="H251" s="866" t="s">
        <v>2946</v>
      </c>
      <c r="I251" s="905">
        <v>44355</v>
      </c>
      <c r="J251" s="861" t="s">
        <v>3200</v>
      </c>
    </row>
    <row r="252" spans="1:10" ht="51" x14ac:dyDescent="0.2">
      <c r="A252" s="899">
        <v>202100059000098</v>
      </c>
      <c r="B252" s="898" t="s">
        <v>2919</v>
      </c>
      <c r="C252" s="917" t="s">
        <v>2947</v>
      </c>
      <c r="D252" s="907" t="s">
        <v>2921</v>
      </c>
      <c r="E252" s="918" t="s">
        <v>2918</v>
      </c>
      <c r="F252" s="864">
        <v>45450</v>
      </c>
      <c r="G252" s="865" t="s">
        <v>2922</v>
      </c>
      <c r="H252" s="866" t="s">
        <v>2948</v>
      </c>
      <c r="I252" s="867">
        <v>44355</v>
      </c>
      <c r="J252" s="861" t="s">
        <v>3200</v>
      </c>
    </row>
    <row r="253" spans="1:10" ht="51" x14ac:dyDescent="0.2">
      <c r="A253" s="899">
        <v>202100059000098</v>
      </c>
      <c r="B253" s="898" t="s">
        <v>2919</v>
      </c>
      <c r="C253" s="917" t="s">
        <v>2949</v>
      </c>
      <c r="D253" s="907" t="s">
        <v>2921</v>
      </c>
      <c r="E253" s="918" t="s">
        <v>2918</v>
      </c>
      <c r="F253" s="864">
        <v>45450</v>
      </c>
      <c r="G253" s="865" t="s">
        <v>2922</v>
      </c>
      <c r="H253" s="866" t="s">
        <v>2950</v>
      </c>
      <c r="I253" s="867">
        <v>44355</v>
      </c>
      <c r="J253" s="861" t="s">
        <v>3200</v>
      </c>
    </row>
    <row r="254" spans="1:10" ht="51" x14ac:dyDescent="0.2">
      <c r="A254" s="899">
        <v>202100059000098</v>
      </c>
      <c r="B254" s="898" t="s">
        <v>2919</v>
      </c>
      <c r="C254" s="917" t="s">
        <v>2951</v>
      </c>
      <c r="D254" s="907" t="s">
        <v>2921</v>
      </c>
      <c r="E254" s="920" t="s">
        <v>2918</v>
      </c>
      <c r="F254" s="864">
        <v>44354</v>
      </c>
      <c r="G254" s="865" t="s">
        <v>2922</v>
      </c>
      <c r="H254" s="866" t="s">
        <v>2952</v>
      </c>
      <c r="I254" s="867">
        <v>44355</v>
      </c>
      <c r="J254" s="861" t="s">
        <v>3200</v>
      </c>
    </row>
    <row r="255" spans="1:10" ht="51" x14ac:dyDescent="0.2">
      <c r="A255" s="899">
        <v>202100059000098</v>
      </c>
      <c r="B255" s="898" t="s">
        <v>2919</v>
      </c>
      <c r="C255" s="917" t="s">
        <v>2953</v>
      </c>
      <c r="D255" s="907" t="s">
        <v>2921</v>
      </c>
      <c r="E255" s="918" t="s">
        <v>2918</v>
      </c>
      <c r="F255" s="864">
        <v>45450</v>
      </c>
      <c r="G255" s="865" t="s">
        <v>2922</v>
      </c>
      <c r="H255" s="866" t="s">
        <v>2954</v>
      </c>
      <c r="I255" s="867">
        <v>44355</v>
      </c>
      <c r="J255" s="861" t="s">
        <v>3200</v>
      </c>
    </row>
    <row r="256" spans="1:10" ht="51" x14ac:dyDescent="0.2">
      <c r="A256" s="899">
        <v>202100059000098</v>
      </c>
      <c r="B256" s="898" t="s">
        <v>2919</v>
      </c>
      <c r="C256" s="917" t="s">
        <v>2955</v>
      </c>
      <c r="D256" s="907" t="s">
        <v>2921</v>
      </c>
      <c r="E256" s="918" t="s">
        <v>2918</v>
      </c>
      <c r="F256" s="864">
        <v>45450</v>
      </c>
      <c r="G256" s="865" t="s">
        <v>2932</v>
      </c>
      <c r="H256" s="866" t="s">
        <v>2956</v>
      </c>
      <c r="I256" s="867">
        <v>44355</v>
      </c>
      <c r="J256" s="861" t="s">
        <v>3200</v>
      </c>
    </row>
    <row r="257" spans="1:10" ht="51" x14ac:dyDescent="0.2">
      <c r="A257" s="899">
        <v>202100059000098</v>
      </c>
      <c r="B257" s="898" t="s">
        <v>2919</v>
      </c>
      <c r="C257" s="917" t="s">
        <v>2957</v>
      </c>
      <c r="D257" s="907" t="s">
        <v>2921</v>
      </c>
      <c r="E257" s="918" t="s">
        <v>2918</v>
      </c>
      <c r="F257" s="864">
        <v>45450</v>
      </c>
      <c r="G257" s="865" t="s">
        <v>2932</v>
      </c>
      <c r="H257" s="866" t="s">
        <v>2958</v>
      </c>
      <c r="I257" s="867">
        <v>44355</v>
      </c>
      <c r="J257" s="861" t="s">
        <v>3200</v>
      </c>
    </row>
    <row r="258" spans="1:10" ht="51" x14ac:dyDescent="0.2">
      <c r="A258" s="899">
        <v>202100059000098</v>
      </c>
      <c r="B258" s="898" t="s">
        <v>2919</v>
      </c>
      <c r="C258" s="917" t="s">
        <v>2959</v>
      </c>
      <c r="D258" s="907" t="s">
        <v>2921</v>
      </c>
      <c r="E258" s="918" t="s">
        <v>2918</v>
      </c>
      <c r="F258" s="864">
        <v>45450</v>
      </c>
      <c r="G258" s="865" t="s">
        <v>2922</v>
      </c>
      <c r="H258" s="866" t="s">
        <v>2960</v>
      </c>
      <c r="I258" s="905">
        <v>44355</v>
      </c>
      <c r="J258" s="861" t="s">
        <v>3200</v>
      </c>
    </row>
    <row r="259" spans="1:10" ht="51" x14ac:dyDescent="0.2">
      <c r="A259" s="899">
        <v>202100059000098</v>
      </c>
      <c r="B259" s="898" t="s">
        <v>2919</v>
      </c>
      <c r="C259" s="917" t="s">
        <v>2961</v>
      </c>
      <c r="D259" s="907" t="s">
        <v>2921</v>
      </c>
      <c r="E259" s="918" t="s">
        <v>2918</v>
      </c>
      <c r="F259" s="864">
        <v>45450</v>
      </c>
      <c r="G259" s="865" t="s">
        <v>2922</v>
      </c>
      <c r="H259" s="866" t="s">
        <v>2962</v>
      </c>
      <c r="I259" s="867" t="s">
        <v>2963</v>
      </c>
      <c r="J259" s="861" t="s">
        <v>3200</v>
      </c>
    </row>
    <row r="260" spans="1:10" ht="51" x14ac:dyDescent="0.2">
      <c r="A260" s="899">
        <v>202100059000098</v>
      </c>
      <c r="B260" s="898" t="s">
        <v>2919</v>
      </c>
      <c r="C260" s="917" t="s">
        <v>2964</v>
      </c>
      <c r="D260" s="907" t="s">
        <v>2921</v>
      </c>
      <c r="E260" s="918" t="s">
        <v>2918</v>
      </c>
      <c r="F260" s="864">
        <v>45450</v>
      </c>
      <c r="G260" s="865" t="s">
        <v>2922</v>
      </c>
      <c r="H260" s="866" t="s">
        <v>2965</v>
      </c>
      <c r="I260" s="867">
        <v>44355</v>
      </c>
      <c r="J260" s="861" t="s">
        <v>3200</v>
      </c>
    </row>
    <row r="261" spans="1:10" ht="51" x14ac:dyDescent="0.2">
      <c r="A261" s="899">
        <v>202100059000098</v>
      </c>
      <c r="B261" s="898" t="s">
        <v>2919</v>
      </c>
      <c r="C261" s="917" t="s">
        <v>2966</v>
      </c>
      <c r="D261" s="907" t="s">
        <v>2921</v>
      </c>
      <c r="E261" s="920" t="s">
        <v>2918</v>
      </c>
      <c r="F261" s="864" t="s">
        <v>2967</v>
      </c>
      <c r="G261" s="865" t="s">
        <v>2922</v>
      </c>
      <c r="H261" s="866" t="s">
        <v>2968</v>
      </c>
      <c r="I261" s="867">
        <v>44355</v>
      </c>
      <c r="J261" s="861" t="s">
        <v>3200</v>
      </c>
    </row>
    <row r="262" spans="1:10" ht="51" x14ac:dyDescent="0.2">
      <c r="A262" s="899">
        <v>202100059000098</v>
      </c>
      <c r="B262" s="898" t="s">
        <v>2919</v>
      </c>
      <c r="C262" s="917" t="s">
        <v>2969</v>
      </c>
      <c r="D262" s="907" t="s">
        <v>2973</v>
      </c>
      <c r="E262" s="918" t="s">
        <v>2918</v>
      </c>
      <c r="F262" s="864">
        <v>45450</v>
      </c>
      <c r="G262" s="865" t="s">
        <v>2922</v>
      </c>
      <c r="H262" s="866" t="s">
        <v>2970</v>
      </c>
      <c r="I262" s="867">
        <v>44355</v>
      </c>
      <c r="J262" s="861" t="s">
        <v>3200</v>
      </c>
    </row>
    <row r="263" spans="1:10" ht="51" x14ac:dyDescent="0.2">
      <c r="A263" s="899">
        <v>202100059000098</v>
      </c>
      <c r="B263" s="898" t="s">
        <v>2919</v>
      </c>
      <c r="C263" s="917" t="s">
        <v>2971</v>
      </c>
      <c r="D263" s="907" t="s">
        <v>2921</v>
      </c>
      <c r="E263" s="918" t="s">
        <v>2918</v>
      </c>
      <c r="F263" s="864">
        <v>45450</v>
      </c>
      <c r="G263" s="865" t="s">
        <v>2922</v>
      </c>
      <c r="H263" s="866" t="s">
        <v>2972</v>
      </c>
      <c r="I263" s="905">
        <v>44355</v>
      </c>
      <c r="J263" s="904" t="s">
        <v>3216</v>
      </c>
    </row>
    <row r="264" spans="1:10" ht="51" x14ac:dyDescent="0.2">
      <c r="A264" s="901">
        <v>202100059000098</v>
      </c>
      <c r="B264" s="898" t="s">
        <v>2919</v>
      </c>
      <c r="C264" s="917" t="s">
        <v>3019</v>
      </c>
      <c r="D264" s="907" t="s">
        <v>2921</v>
      </c>
      <c r="E264" s="921" t="s">
        <v>2918</v>
      </c>
      <c r="F264" s="864">
        <v>45450</v>
      </c>
      <c r="G264" s="865" t="s">
        <v>2922</v>
      </c>
      <c r="H264" s="866" t="s">
        <v>3020</v>
      </c>
      <c r="I264" s="867">
        <v>44355</v>
      </c>
      <c r="J264" s="861" t="s">
        <v>3200</v>
      </c>
    </row>
    <row r="265" spans="1:10" x14ac:dyDescent="0.2">
      <c r="A265" s="894"/>
      <c r="B265" s="889"/>
      <c r="C265" s="917"/>
      <c r="D265" s="862"/>
      <c r="E265" s="921"/>
      <c r="F265" s="864"/>
      <c r="G265" s="865"/>
      <c r="H265" s="866"/>
      <c r="I265" s="867"/>
      <c r="J265" s="861"/>
    </row>
    <row r="266" spans="1:10" x14ac:dyDescent="0.2">
      <c r="A266" s="894"/>
      <c r="B266" s="894"/>
      <c r="C266" s="917"/>
      <c r="D266" s="862"/>
      <c r="E266" s="921"/>
      <c r="F266" s="864"/>
      <c r="G266" s="865"/>
      <c r="H266" s="867"/>
      <c r="I266" s="867"/>
      <c r="J266" s="861"/>
    </row>
    <row r="267" spans="1:10" x14ac:dyDescent="0.2">
      <c r="A267" s="894"/>
      <c r="B267" s="889"/>
      <c r="C267" s="917"/>
      <c r="D267" s="862"/>
      <c r="E267" s="921"/>
      <c r="F267" s="864"/>
      <c r="G267" s="865"/>
      <c r="H267" s="866"/>
      <c r="I267" s="867"/>
      <c r="J267" s="861"/>
    </row>
    <row r="268" spans="1:10" x14ac:dyDescent="0.2">
      <c r="A268" s="894"/>
      <c r="B268" s="889"/>
      <c r="C268" s="917"/>
      <c r="D268" s="862"/>
      <c r="E268" s="921"/>
      <c r="F268" s="864"/>
      <c r="G268" s="865"/>
      <c r="H268" s="866"/>
      <c r="I268" s="867"/>
      <c r="J268" s="861"/>
    </row>
    <row r="269" spans="1:10" x14ac:dyDescent="0.2">
      <c r="A269" s="894"/>
      <c r="B269" s="889"/>
      <c r="C269" s="917"/>
      <c r="D269" s="862"/>
      <c r="E269" s="921"/>
      <c r="F269" s="864"/>
      <c r="G269" s="865"/>
      <c r="H269" s="866"/>
      <c r="I269" s="867"/>
      <c r="J269" s="861"/>
    </row>
    <row r="270" spans="1:10" x14ac:dyDescent="0.2">
      <c r="A270" s="894"/>
      <c r="B270" s="889"/>
      <c r="C270" s="917"/>
      <c r="D270" s="862"/>
      <c r="E270" s="921"/>
      <c r="F270" s="864"/>
      <c r="G270" s="865"/>
      <c r="H270" s="866"/>
      <c r="J270" s="861"/>
    </row>
    <row r="271" spans="1:10" x14ac:dyDescent="0.2">
      <c r="A271" s="894"/>
      <c r="B271" s="889"/>
      <c r="C271" s="917"/>
      <c r="D271" s="862"/>
      <c r="E271" s="921"/>
      <c r="F271" s="864"/>
      <c r="G271" s="865"/>
      <c r="H271" s="866"/>
      <c r="I271" s="867"/>
      <c r="J271" s="861"/>
    </row>
    <row r="272" spans="1:10" x14ac:dyDescent="0.2">
      <c r="A272" s="894"/>
      <c r="B272" s="889"/>
      <c r="C272" s="917"/>
      <c r="D272" s="862"/>
      <c r="E272" s="921"/>
      <c r="F272" s="864"/>
      <c r="G272" s="865"/>
      <c r="H272" s="866"/>
      <c r="I272" s="867"/>
      <c r="J272" s="861"/>
    </row>
    <row r="273" spans="1:10" x14ac:dyDescent="0.2">
      <c r="A273" s="894"/>
      <c r="B273" s="889"/>
      <c r="C273" s="917"/>
      <c r="D273" s="862"/>
      <c r="E273" s="920"/>
      <c r="F273" s="864"/>
      <c r="G273" s="865"/>
      <c r="H273" s="866"/>
      <c r="I273" s="867"/>
      <c r="J273" s="861"/>
    </row>
    <row r="274" spans="1:10" x14ac:dyDescent="0.2">
      <c r="A274" s="894"/>
      <c r="B274" s="889"/>
      <c r="C274" s="917"/>
      <c r="D274" s="862"/>
      <c r="E274" s="921"/>
      <c r="F274" s="864"/>
      <c r="G274" s="865"/>
      <c r="H274" s="866"/>
      <c r="I274" s="867"/>
      <c r="J274" s="861"/>
    </row>
    <row r="275" spans="1:10" x14ac:dyDescent="0.2">
      <c r="A275" s="894"/>
      <c r="B275" s="889"/>
      <c r="C275" s="917"/>
      <c r="D275" s="862"/>
      <c r="E275" s="921"/>
      <c r="F275" s="864"/>
      <c r="G275" s="865"/>
      <c r="H275" s="866"/>
      <c r="I275" s="867"/>
      <c r="J275" s="861"/>
    </row>
    <row r="276" spans="1:10" x14ac:dyDescent="0.2">
      <c r="A276" s="894"/>
      <c r="B276" s="894"/>
      <c r="C276" s="917"/>
      <c r="D276" s="862"/>
      <c r="E276" s="921"/>
      <c r="F276" s="864"/>
      <c r="G276" s="865"/>
      <c r="H276" s="867"/>
      <c r="I276" s="867"/>
      <c r="J276" s="861"/>
    </row>
    <row r="277" spans="1:10" x14ac:dyDescent="0.2">
      <c r="A277" s="894"/>
      <c r="B277" s="889"/>
      <c r="C277" s="917"/>
      <c r="D277" s="862"/>
      <c r="E277" s="921"/>
      <c r="F277" s="864"/>
      <c r="G277" s="865"/>
      <c r="H277" s="866"/>
      <c r="I277" s="867"/>
      <c r="J277" s="861"/>
    </row>
    <row r="278" spans="1:10" x14ac:dyDescent="0.2">
      <c r="A278" s="894"/>
      <c r="B278" s="889"/>
      <c r="C278" s="917"/>
      <c r="D278" s="862"/>
      <c r="E278" s="921"/>
      <c r="F278" s="864"/>
      <c r="G278" s="865"/>
      <c r="H278" s="866"/>
      <c r="I278" s="867"/>
      <c r="J278" s="861"/>
    </row>
    <row r="279" spans="1:10" x14ac:dyDescent="0.2">
      <c r="A279" s="894"/>
      <c r="B279" s="889"/>
      <c r="C279" s="917"/>
      <c r="D279" s="862"/>
      <c r="E279" s="921"/>
      <c r="F279" s="864"/>
      <c r="G279" s="865"/>
      <c r="H279" s="866"/>
      <c r="I279" s="867"/>
      <c r="J279" s="861"/>
    </row>
    <row r="280" spans="1:10" x14ac:dyDescent="0.2">
      <c r="A280" s="894"/>
      <c r="B280" s="889"/>
      <c r="C280" s="917"/>
      <c r="D280" s="862"/>
      <c r="E280" s="921"/>
      <c r="F280" s="864"/>
      <c r="G280" s="865"/>
      <c r="H280" s="866"/>
      <c r="J280" s="861"/>
    </row>
    <row r="281" spans="1:10" x14ac:dyDescent="0.2">
      <c r="A281" s="894"/>
      <c r="B281" s="889"/>
      <c r="C281" s="917"/>
      <c r="D281" s="862"/>
      <c r="E281" s="921"/>
      <c r="F281" s="864"/>
      <c r="G281" s="865"/>
      <c r="H281" s="866"/>
      <c r="I281" s="867"/>
      <c r="J281" s="861"/>
    </row>
    <row r="282" spans="1:10" x14ac:dyDescent="0.2">
      <c r="A282" s="894"/>
      <c r="B282" s="889"/>
      <c r="C282" s="917"/>
      <c r="D282" s="862"/>
      <c r="E282" s="921"/>
      <c r="F282" s="864"/>
      <c r="G282" s="865"/>
      <c r="H282" s="866"/>
      <c r="I282" s="867"/>
      <c r="J282" s="861"/>
    </row>
    <row r="283" spans="1:10" x14ac:dyDescent="0.2">
      <c r="A283" s="894"/>
      <c r="B283" s="889"/>
      <c r="C283" s="917"/>
      <c r="D283" s="862"/>
      <c r="E283" s="920"/>
      <c r="F283" s="864"/>
      <c r="G283" s="865"/>
      <c r="H283" s="866"/>
      <c r="I283" s="867"/>
      <c r="J283" s="861"/>
    </row>
    <row r="284" spans="1:10" x14ac:dyDescent="0.2">
      <c r="A284" s="894"/>
      <c r="B284" s="889"/>
      <c r="C284" s="917"/>
      <c r="D284" s="862"/>
      <c r="E284" s="921"/>
      <c r="F284" s="864"/>
      <c r="G284" s="865"/>
      <c r="H284" s="866"/>
      <c r="I284" s="867"/>
      <c r="J284" s="861"/>
    </row>
    <row r="285" spans="1:10" x14ac:dyDescent="0.2">
      <c r="A285" s="894"/>
      <c r="B285" s="889"/>
      <c r="C285" s="917"/>
      <c r="D285" s="862"/>
      <c r="E285" s="921"/>
      <c r="F285" s="864"/>
      <c r="G285" s="865"/>
      <c r="H285" s="866"/>
      <c r="I285" s="867"/>
      <c r="J285" s="861"/>
    </row>
    <row r="286" spans="1:10" x14ac:dyDescent="0.2">
      <c r="A286" s="894"/>
      <c r="B286" s="894"/>
      <c r="C286" s="917"/>
      <c r="D286" s="862"/>
      <c r="E286" s="921"/>
      <c r="F286" s="864"/>
      <c r="G286" s="865"/>
      <c r="H286" s="867"/>
      <c r="I286" s="867"/>
      <c r="J286" s="861"/>
    </row>
    <row r="287" spans="1:10" x14ac:dyDescent="0.2">
      <c r="A287" s="894"/>
      <c r="B287" s="889"/>
      <c r="C287" s="917"/>
      <c r="D287" s="862"/>
      <c r="E287" s="921"/>
      <c r="F287" s="864"/>
      <c r="G287" s="865"/>
      <c r="H287" s="866"/>
      <c r="I287" s="867"/>
      <c r="J287" s="861"/>
    </row>
    <row r="288" spans="1:10" x14ac:dyDescent="0.2">
      <c r="A288" s="894"/>
      <c r="B288" s="889"/>
      <c r="C288" s="917"/>
      <c r="D288" s="862"/>
      <c r="E288" s="921"/>
      <c r="F288" s="864"/>
      <c r="G288" s="865"/>
      <c r="H288" s="866"/>
      <c r="I288" s="867"/>
      <c r="J288" s="861"/>
    </row>
    <row r="289" spans="1:10" x14ac:dyDescent="0.2">
      <c r="A289" s="894"/>
      <c r="B289" s="889"/>
      <c r="C289" s="917"/>
      <c r="D289" s="862"/>
      <c r="E289" s="921"/>
      <c r="F289" s="864"/>
      <c r="G289" s="865"/>
      <c r="H289" s="866"/>
      <c r="I289" s="867"/>
      <c r="J289" s="861"/>
    </row>
    <row r="290" spans="1:10" x14ac:dyDescent="0.2">
      <c r="A290" s="894"/>
      <c r="B290" s="889"/>
      <c r="C290" s="917"/>
      <c r="D290" s="862"/>
      <c r="E290" s="921"/>
      <c r="F290" s="864"/>
      <c r="G290" s="865"/>
      <c r="H290" s="866"/>
      <c r="J290" s="861"/>
    </row>
    <row r="291" spans="1:10" x14ac:dyDescent="0.2">
      <c r="A291" s="894"/>
      <c r="B291" s="889"/>
      <c r="C291" s="917"/>
      <c r="D291" s="862"/>
      <c r="E291" s="921"/>
      <c r="F291" s="864"/>
      <c r="G291" s="865"/>
      <c r="H291" s="866"/>
      <c r="I291" s="867"/>
      <c r="J291" s="861"/>
    </row>
    <row r="292" spans="1:10" x14ac:dyDescent="0.2">
      <c r="A292" s="894"/>
      <c r="B292" s="889"/>
      <c r="C292" s="917"/>
      <c r="D292" s="862"/>
      <c r="E292" s="921"/>
      <c r="F292" s="864"/>
      <c r="G292" s="865" t="s">
        <v>3220</v>
      </c>
      <c r="H292" s="866"/>
      <c r="I292" s="867"/>
      <c r="J292" s="861"/>
    </row>
    <row r="293" spans="1:10" x14ac:dyDescent="0.2">
      <c r="A293" s="894"/>
      <c r="B293" s="889"/>
      <c r="C293" s="917"/>
      <c r="D293" s="862"/>
      <c r="E293" s="920"/>
      <c r="F293" s="864"/>
      <c r="G293" s="865"/>
      <c r="H293" s="866"/>
      <c r="I293" s="867"/>
      <c r="J293" s="861"/>
    </row>
    <row r="294" spans="1:10" x14ac:dyDescent="0.2">
      <c r="A294" s="894"/>
      <c r="B294" s="889"/>
      <c r="C294" s="917"/>
      <c r="D294" s="862"/>
      <c r="E294" s="921"/>
      <c r="F294" s="864"/>
      <c r="G294" s="865"/>
      <c r="H294" s="866"/>
      <c r="I294" s="867"/>
      <c r="J294" s="861"/>
    </row>
  </sheetData>
  <pageMargins left="0.511811024" right="0.511811024" top="0.78740157499999996" bottom="0.78740157499999996" header="0.31496062000000002" footer="0.31496062000000002"/>
  <pageSetup paperSize="9" fitToHeight="0" orientation="landscape" horizontalDpi="0"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topLeftCell="B1" zoomScale="118" zoomScaleNormal="118" workbookViewId="0">
      <selection activeCell="B7" sqref="B7"/>
    </sheetView>
  </sheetViews>
  <sheetFormatPr defaultRowHeight="14.1" customHeight="1" x14ac:dyDescent="0.2"/>
  <cols>
    <col min="1" max="1" width="9.28515625" style="1" customWidth="1"/>
    <col min="2" max="2" width="14" style="1" customWidth="1"/>
    <col min="3" max="3" width="46.7109375" style="1" customWidth="1"/>
    <col min="4" max="4" width="35" style="1" customWidth="1"/>
    <col min="5" max="5" width="12.140625" style="2" customWidth="1"/>
    <col min="6" max="6" width="10.5703125" style="1" customWidth="1"/>
    <col min="7" max="7" width="32.7109375" style="2" customWidth="1"/>
    <col min="8" max="14" width="0" style="1" hidden="1" customWidth="1"/>
    <col min="15" max="15" width="11" style="1" customWidth="1"/>
    <col min="16" max="16384" width="9.140625" style="1"/>
  </cols>
  <sheetData>
    <row r="1" spans="1:15" ht="23.1" customHeight="1" x14ac:dyDescent="0.25">
      <c r="A1" s="939" t="s">
        <v>416</v>
      </c>
      <c r="B1" s="939"/>
      <c r="C1" s="939"/>
      <c r="D1" s="939"/>
      <c r="E1" s="939"/>
      <c r="F1" s="939"/>
      <c r="G1" s="939"/>
      <c r="H1" s="939"/>
      <c r="I1" s="939"/>
      <c r="J1" s="939"/>
      <c r="K1" s="939"/>
      <c r="L1" s="939"/>
      <c r="M1" s="939"/>
      <c r="N1" s="939"/>
    </row>
    <row r="2" spans="1:15" s="6" customFormat="1" ht="12.6" customHeight="1" x14ac:dyDescent="0.2">
      <c r="A2" s="940" t="s">
        <v>2</v>
      </c>
      <c r="B2" s="940" t="s">
        <v>4</v>
      </c>
      <c r="C2" s="940" t="s">
        <v>5</v>
      </c>
      <c r="D2" s="940" t="s">
        <v>6</v>
      </c>
      <c r="E2" s="940" t="s">
        <v>7</v>
      </c>
      <c r="F2" s="940" t="s">
        <v>8</v>
      </c>
      <c r="G2" s="940" t="s">
        <v>417</v>
      </c>
      <c r="H2" s="941" t="s">
        <v>10</v>
      </c>
      <c r="I2" s="935" t="s">
        <v>11</v>
      </c>
      <c r="J2" s="935"/>
      <c r="K2" s="935"/>
      <c r="L2" s="935"/>
      <c r="M2" s="935"/>
      <c r="N2" s="936" t="s">
        <v>12</v>
      </c>
      <c r="O2" s="79"/>
    </row>
    <row r="3" spans="1:15" s="6" customFormat="1" ht="12.6" customHeight="1" x14ac:dyDescent="0.2">
      <c r="A3" s="940"/>
      <c r="B3" s="940"/>
      <c r="C3" s="940"/>
      <c r="D3" s="940"/>
      <c r="E3" s="940"/>
      <c r="F3" s="940"/>
      <c r="G3" s="940"/>
      <c r="H3" s="941"/>
      <c r="I3" s="80" t="s">
        <v>16</v>
      </c>
      <c r="J3" s="80" t="s">
        <v>17</v>
      </c>
      <c r="K3" s="80" t="s">
        <v>18</v>
      </c>
      <c r="L3" s="80" t="s">
        <v>19</v>
      </c>
      <c r="M3" s="80" t="s">
        <v>20</v>
      </c>
      <c r="N3" s="936"/>
      <c r="O3" s="79"/>
    </row>
    <row r="4" spans="1:15" ht="15" customHeight="1" x14ac:dyDescent="0.2">
      <c r="A4" s="81" t="s">
        <v>128</v>
      </c>
      <c r="B4" s="81" t="s">
        <v>130</v>
      </c>
      <c r="C4" s="82" t="s">
        <v>131</v>
      </c>
      <c r="D4" s="83" t="s">
        <v>132</v>
      </c>
      <c r="E4" s="84" t="s">
        <v>133</v>
      </c>
      <c r="F4" s="85">
        <v>39021</v>
      </c>
      <c r="G4" s="84" t="s">
        <v>418</v>
      </c>
      <c r="H4" s="86"/>
      <c r="I4" s="86"/>
      <c r="J4" s="86"/>
      <c r="K4" s="86"/>
      <c r="L4" s="86"/>
      <c r="M4" s="86"/>
      <c r="N4" s="86"/>
      <c r="O4" s="87"/>
    </row>
    <row r="5" spans="1:15" ht="15" customHeight="1" x14ac:dyDescent="0.2">
      <c r="A5" s="10" t="s">
        <v>142</v>
      </c>
      <c r="B5" s="10" t="s">
        <v>419</v>
      </c>
      <c r="C5" s="88" t="s">
        <v>143</v>
      </c>
      <c r="D5" s="11" t="s">
        <v>144</v>
      </c>
      <c r="E5" s="12" t="s">
        <v>420</v>
      </c>
      <c r="F5" s="89">
        <v>39052</v>
      </c>
      <c r="G5" s="14" t="s">
        <v>421</v>
      </c>
      <c r="H5" s="90"/>
      <c r="I5" s="90"/>
      <c r="J5" s="90"/>
      <c r="K5" s="90"/>
      <c r="L5" s="90"/>
      <c r="M5" s="90"/>
      <c r="N5" s="90"/>
      <c r="O5" s="87"/>
    </row>
    <row r="6" spans="1:15" ht="15" customHeight="1" x14ac:dyDescent="0.2">
      <c r="A6" s="10" t="s">
        <v>230</v>
      </c>
      <c r="B6" s="10" t="s">
        <v>419</v>
      </c>
      <c r="C6" s="88" t="s">
        <v>231</v>
      </c>
      <c r="D6" s="11" t="s">
        <v>232</v>
      </c>
      <c r="E6" s="14">
        <v>21785.16</v>
      </c>
      <c r="F6" s="89" t="s">
        <v>233</v>
      </c>
      <c r="G6" s="14" t="s">
        <v>422</v>
      </c>
      <c r="H6" s="90"/>
      <c r="I6" s="90"/>
      <c r="J6" s="90"/>
      <c r="K6" s="90"/>
      <c r="L6" s="90"/>
      <c r="M6" s="90"/>
      <c r="N6" s="90"/>
      <c r="O6" s="87"/>
    </row>
    <row r="7" spans="1:15" ht="15" customHeight="1" x14ac:dyDescent="0.2">
      <c r="A7" s="10" t="s">
        <v>197</v>
      </c>
      <c r="B7" s="10" t="s">
        <v>56</v>
      </c>
      <c r="C7" s="88" t="s">
        <v>198</v>
      </c>
      <c r="D7" s="11" t="s">
        <v>199</v>
      </c>
      <c r="E7" s="14">
        <v>1665.6</v>
      </c>
      <c r="F7" s="89">
        <v>38776</v>
      </c>
      <c r="G7" s="14" t="s">
        <v>423</v>
      </c>
      <c r="H7" s="90"/>
      <c r="I7" s="90"/>
      <c r="J7" s="90"/>
      <c r="K7" s="90"/>
      <c r="L7" s="90"/>
      <c r="M7" s="90"/>
      <c r="N7" s="90"/>
      <c r="O7" s="87"/>
    </row>
    <row r="8" spans="1:15" ht="15" customHeight="1" x14ac:dyDescent="0.2">
      <c r="A8" s="10" t="s">
        <v>215</v>
      </c>
      <c r="B8" s="10" t="s">
        <v>24</v>
      </c>
      <c r="C8" s="88" t="s">
        <v>216</v>
      </c>
      <c r="D8" s="11" t="s">
        <v>217</v>
      </c>
      <c r="E8" s="14" t="s">
        <v>133</v>
      </c>
      <c r="F8" s="89">
        <v>39725</v>
      </c>
      <c r="G8" s="14" t="s">
        <v>423</v>
      </c>
      <c r="H8" s="90"/>
      <c r="I8" s="90"/>
      <c r="J8" s="90"/>
      <c r="K8" s="90"/>
      <c r="L8" s="90"/>
      <c r="M8" s="90"/>
      <c r="N8" s="90"/>
      <c r="O8" s="87"/>
    </row>
    <row r="9" spans="1:15" ht="15" customHeight="1" x14ac:dyDescent="0.2">
      <c r="A9" s="10" t="s">
        <v>424</v>
      </c>
      <c r="B9" s="10" t="s">
        <v>419</v>
      </c>
      <c r="C9" s="88" t="s">
        <v>425</v>
      </c>
      <c r="D9" s="11" t="s">
        <v>426</v>
      </c>
      <c r="E9" s="12" t="s">
        <v>427</v>
      </c>
      <c r="F9" s="89">
        <v>39033</v>
      </c>
      <c r="G9" s="14" t="s">
        <v>421</v>
      </c>
      <c r="H9" s="90"/>
      <c r="I9" s="90"/>
      <c r="J9" s="90"/>
      <c r="K9" s="90"/>
      <c r="L9" s="90"/>
      <c r="M9" s="90"/>
      <c r="N9" s="90"/>
      <c r="O9" s="87"/>
    </row>
    <row r="10" spans="1:15" ht="15" customHeight="1" x14ac:dyDescent="0.2">
      <c r="A10" s="10" t="s">
        <v>220</v>
      </c>
      <c r="B10" s="10" t="s">
        <v>419</v>
      </c>
      <c r="C10" s="88" t="s">
        <v>221</v>
      </c>
      <c r="D10" s="11" t="s">
        <v>222</v>
      </c>
      <c r="E10" s="14">
        <f>6300*12</f>
        <v>75600</v>
      </c>
      <c r="F10" s="89">
        <v>38728</v>
      </c>
      <c r="G10" s="14" t="s">
        <v>428</v>
      </c>
      <c r="H10" s="90"/>
      <c r="I10" s="90"/>
      <c r="J10" s="90"/>
      <c r="K10" s="90"/>
      <c r="L10" s="90"/>
      <c r="M10" s="90"/>
      <c r="N10" s="90"/>
      <c r="O10" s="87"/>
    </row>
    <row r="11" spans="1:15" ht="15" customHeight="1" x14ac:dyDescent="0.2">
      <c r="A11" s="10" t="s">
        <v>72</v>
      </c>
      <c r="B11" s="10" t="s">
        <v>419</v>
      </c>
      <c r="C11" s="88" t="s">
        <v>73</v>
      </c>
      <c r="D11" s="11" t="s">
        <v>74</v>
      </c>
      <c r="E11" s="12" t="s">
        <v>75</v>
      </c>
      <c r="F11" s="89">
        <v>38878</v>
      </c>
      <c r="G11" s="14" t="s">
        <v>429</v>
      </c>
      <c r="H11" s="90"/>
      <c r="I11" s="90"/>
      <c r="J11" s="90"/>
      <c r="K11" s="90"/>
      <c r="L11" s="90"/>
      <c r="M11" s="90"/>
      <c r="N11" s="90"/>
      <c r="O11" s="87"/>
    </row>
    <row r="12" spans="1:15" ht="15" customHeight="1" x14ac:dyDescent="0.2">
      <c r="A12" s="10" t="s">
        <v>430</v>
      </c>
      <c r="B12" s="10" t="s">
        <v>419</v>
      </c>
      <c r="C12" s="88" t="s">
        <v>431</v>
      </c>
      <c r="D12" s="11" t="s">
        <v>432</v>
      </c>
      <c r="E12" s="14">
        <v>15800</v>
      </c>
      <c r="F12" s="89">
        <v>38852</v>
      </c>
      <c r="G12" s="14" t="s">
        <v>423</v>
      </c>
      <c r="H12" s="90"/>
      <c r="I12" s="90"/>
      <c r="J12" s="90"/>
      <c r="K12" s="90"/>
      <c r="L12" s="90"/>
      <c r="M12" s="90"/>
      <c r="N12" s="90"/>
      <c r="O12" s="87"/>
    </row>
    <row r="13" spans="1:15" ht="15" customHeight="1" x14ac:dyDescent="0.2">
      <c r="A13" s="10" t="s">
        <v>433</v>
      </c>
      <c r="B13" s="10" t="s">
        <v>419</v>
      </c>
      <c r="C13" s="88" t="s">
        <v>434</v>
      </c>
      <c r="D13" s="11" t="s">
        <v>435</v>
      </c>
      <c r="E13" s="14">
        <f>500.93*12</f>
        <v>6011.16</v>
      </c>
      <c r="F13" s="89">
        <v>39078</v>
      </c>
      <c r="G13" s="14" t="s">
        <v>436</v>
      </c>
      <c r="H13" s="90"/>
      <c r="I13" s="90"/>
      <c r="J13" s="90"/>
      <c r="K13" s="90"/>
      <c r="L13" s="90"/>
      <c r="M13" s="90"/>
      <c r="N13" s="90"/>
      <c r="O13" s="87"/>
    </row>
    <row r="14" spans="1:15" ht="15" customHeight="1" x14ac:dyDescent="0.2">
      <c r="A14" s="10" t="s">
        <v>437</v>
      </c>
      <c r="B14" s="10" t="s">
        <v>419</v>
      </c>
      <c r="C14" s="88" t="s">
        <v>438</v>
      </c>
      <c r="D14" s="11" t="s">
        <v>439</v>
      </c>
      <c r="E14" s="14">
        <v>15811.44</v>
      </c>
      <c r="F14" s="89">
        <v>38938</v>
      </c>
      <c r="G14" s="14" t="s">
        <v>418</v>
      </c>
      <c r="H14" s="90"/>
      <c r="I14" s="90"/>
      <c r="J14" s="90"/>
      <c r="K14" s="90"/>
      <c r="L14" s="90"/>
      <c r="M14" s="90"/>
      <c r="N14" s="90"/>
      <c r="O14" s="87"/>
    </row>
    <row r="15" spans="1:15" ht="15" customHeight="1" x14ac:dyDescent="0.2">
      <c r="A15" s="10" t="s">
        <v>60</v>
      </c>
      <c r="B15" s="10" t="s">
        <v>419</v>
      </c>
      <c r="C15" s="88" t="s">
        <v>62</v>
      </c>
      <c r="D15" s="11" t="s">
        <v>440</v>
      </c>
      <c r="E15" s="14">
        <v>8644.56</v>
      </c>
      <c r="F15" s="89">
        <v>38871</v>
      </c>
      <c r="G15" s="14" t="s">
        <v>429</v>
      </c>
      <c r="H15" s="90"/>
      <c r="I15" s="90"/>
      <c r="J15" s="90"/>
      <c r="K15" s="90"/>
      <c r="L15" s="90"/>
      <c r="M15" s="90"/>
      <c r="N15" s="90"/>
      <c r="O15" s="87"/>
    </row>
    <row r="16" spans="1:15" ht="15" customHeight="1" x14ac:dyDescent="0.2">
      <c r="A16" s="10" t="s">
        <v>170</v>
      </c>
      <c r="B16" s="10" t="s">
        <v>419</v>
      </c>
      <c r="C16" s="88" t="s">
        <v>171</v>
      </c>
      <c r="D16" s="11" t="s">
        <v>172</v>
      </c>
      <c r="E16" s="12" t="s">
        <v>441</v>
      </c>
      <c r="F16" s="89">
        <v>39081</v>
      </c>
      <c r="G16" s="14" t="s">
        <v>421</v>
      </c>
      <c r="H16" s="90"/>
      <c r="I16" s="90"/>
      <c r="J16" s="90"/>
      <c r="K16" s="90"/>
      <c r="L16" s="90"/>
      <c r="M16" s="90"/>
      <c r="N16" s="90"/>
      <c r="O16" s="87"/>
    </row>
    <row r="17" spans="1:15" ht="15" customHeight="1" x14ac:dyDescent="0.2">
      <c r="A17" s="10" t="s">
        <v>442</v>
      </c>
      <c r="B17" s="10" t="s">
        <v>419</v>
      </c>
      <c r="C17" s="88" t="s">
        <v>88</v>
      </c>
      <c r="D17" s="11" t="s">
        <v>443</v>
      </c>
      <c r="E17" s="14">
        <v>8544.6</v>
      </c>
      <c r="F17" s="89">
        <v>38929</v>
      </c>
      <c r="G17" s="14" t="s">
        <v>428</v>
      </c>
      <c r="H17" s="90"/>
      <c r="I17" s="90"/>
      <c r="J17" s="90"/>
      <c r="K17" s="90"/>
      <c r="L17" s="90"/>
      <c r="M17" s="90"/>
      <c r="N17" s="90"/>
      <c r="O17" s="87"/>
    </row>
    <row r="18" spans="1:15" ht="15" customHeight="1" x14ac:dyDescent="0.2">
      <c r="A18" s="10" t="s">
        <v>444</v>
      </c>
      <c r="B18" s="10" t="s">
        <v>419</v>
      </c>
      <c r="C18" s="88" t="s">
        <v>445</v>
      </c>
      <c r="D18" s="11" t="s">
        <v>446</v>
      </c>
      <c r="E18" s="12" t="s">
        <v>80</v>
      </c>
      <c r="F18" s="91"/>
      <c r="G18" s="14"/>
      <c r="H18" s="90"/>
      <c r="I18" s="90"/>
      <c r="J18" s="90"/>
      <c r="K18" s="90"/>
      <c r="L18" s="90"/>
      <c r="M18" s="90"/>
      <c r="N18" s="90"/>
      <c r="O18" s="87"/>
    </row>
    <row r="19" spans="1:15" ht="15" customHeight="1" x14ac:dyDescent="0.2">
      <c r="A19" s="10" t="s">
        <v>42</v>
      </c>
      <c r="B19" s="10" t="s">
        <v>67</v>
      </c>
      <c r="C19" s="88" t="s">
        <v>44</v>
      </c>
      <c r="D19" s="11" t="s">
        <v>45</v>
      </c>
      <c r="E19" s="12" t="s">
        <v>447</v>
      </c>
      <c r="F19" s="89">
        <v>38816</v>
      </c>
      <c r="G19" s="14" t="s">
        <v>448</v>
      </c>
      <c r="H19" s="90"/>
      <c r="I19" s="90"/>
      <c r="J19" s="90"/>
      <c r="K19" s="90"/>
      <c r="L19" s="90"/>
      <c r="M19" s="90"/>
      <c r="N19" s="90"/>
      <c r="O19" s="92"/>
    </row>
    <row r="20" spans="1:15" ht="15" customHeight="1" x14ac:dyDescent="0.2">
      <c r="A20" s="10" t="s">
        <v>449</v>
      </c>
      <c r="B20" s="10" t="s">
        <v>419</v>
      </c>
      <c r="C20" s="88" t="s">
        <v>44</v>
      </c>
      <c r="D20" s="11" t="s">
        <v>450</v>
      </c>
      <c r="E20" s="14">
        <v>15960</v>
      </c>
      <c r="F20" s="89">
        <v>38994</v>
      </c>
      <c r="G20" s="14" t="s">
        <v>451</v>
      </c>
      <c r="H20" s="90"/>
      <c r="I20" s="90"/>
      <c r="J20" s="90"/>
      <c r="K20" s="90"/>
      <c r="L20" s="90"/>
      <c r="M20" s="90"/>
      <c r="N20" s="90"/>
      <c r="O20" s="87"/>
    </row>
    <row r="21" spans="1:15" ht="15" customHeight="1" x14ac:dyDescent="0.2">
      <c r="A21" s="10" t="s">
        <v>119</v>
      </c>
      <c r="B21" s="10" t="s">
        <v>419</v>
      </c>
      <c r="C21" s="88" t="s">
        <v>120</v>
      </c>
      <c r="D21" s="11" t="s">
        <v>121</v>
      </c>
      <c r="E21" s="14" t="s">
        <v>122</v>
      </c>
      <c r="F21" s="89">
        <v>39016</v>
      </c>
      <c r="G21" s="14" t="s">
        <v>423</v>
      </c>
      <c r="H21" s="90"/>
      <c r="I21" s="90"/>
      <c r="J21" s="90"/>
      <c r="K21" s="90"/>
      <c r="L21" s="90"/>
      <c r="M21" s="90"/>
      <c r="N21" s="90"/>
      <c r="O21" s="92"/>
    </row>
    <row r="22" spans="1:15" ht="15" customHeight="1" x14ac:dyDescent="0.2">
      <c r="A22" s="10" t="s">
        <v>35</v>
      </c>
      <c r="B22" s="10" t="s">
        <v>452</v>
      </c>
      <c r="C22" s="88" t="s">
        <v>38</v>
      </c>
      <c r="D22" s="11" t="s">
        <v>39</v>
      </c>
      <c r="E22" s="14">
        <v>68485.600000000006</v>
      </c>
      <c r="F22" s="89">
        <v>38813</v>
      </c>
      <c r="G22" s="14" t="s">
        <v>428</v>
      </c>
      <c r="H22" s="90"/>
      <c r="I22" s="90"/>
      <c r="J22" s="90"/>
      <c r="K22" s="90"/>
      <c r="L22" s="90"/>
      <c r="M22" s="90"/>
      <c r="N22" s="90"/>
      <c r="O22" s="87"/>
    </row>
    <row r="23" spans="1:15" ht="15" customHeight="1" x14ac:dyDescent="0.2">
      <c r="A23" s="10" t="s">
        <v>206</v>
      </c>
      <c r="B23" s="10" t="s">
        <v>56</v>
      </c>
      <c r="C23" s="88" t="s">
        <v>207</v>
      </c>
      <c r="D23" s="11" t="s">
        <v>208</v>
      </c>
      <c r="E23" s="12" t="s">
        <v>453</v>
      </c>
      <c r="F23" s="89">
        <v>38792</v>
      </c>
      <c r="G23" s="14" t="s">
        <v>428</v>
      </c>
      <c r="H23" s="90"/>
      <c r="I23" s="90"/>
      <c r="J23" s="90"/>
      <c r="K23" s="90"/>
      <c r="L23" s="90"/>
      <c r="M23" s="90"/>
      <c r="N23" s="90"/>
      <c r="O23" s="87"/>
    </row>
    <row r="24" spans="1:15" ht="15" customHeight="1" x14ac:dyDescent="0.2">
      <c r="A24" s="10" t="s">
        <v>189</v>
      </c>
      <c r="B24" s="10" t="s">
        <v>419</v>
      </c>
      <c r="C24" s="88" t="s">
        <v>190</v>
      </c>
      <c r="D24" s="11" t="s">
        <v>191</v>
      </c>
      <c r="E24" s="14">
        <v>1800</v>
      </c>
      <c r="F24" s="89">
        <v>39052</v>
      </c>
      <c r="G24" s="14" t="s">
        <v>423</v>
      </c>
      <c r="H24" s="90"/>
      <c r="I24" s="90"/>
      <c r="J24" s="90"/>
      <c r="K24" s="90"/>
      <c r="L24" s="90"/>
      <c r="M24" s="90"/>
      <c r="N24" s="90"/>
      <c r="O24" s="87"/>
    </row>
    <row r="25" spans="1:15" ht="15" customHeight="1" x14ac:dyDescent="0.2">
      <c r="A25" s="10" t="s">
        <v>454</v>
      </c>
      <c r="B25" s="10" t="s">
        <v>419</v>
      </c>
      <c r="C25" s="88" t="s">
        <v>455</v>
      </c>
      <c r="D25" s="11" t="s">
        <v>456</v>
      </c>
      <c r="E25" s="14">
        <v>15150.72</v>
      </c>
      <c r="F25" s="89">
        <v>38908</v>
      </c>
      <c r="G25" s="14" t="s">
        <v>418</v>
      </c>
      <c r="H25" s="90"/>
      <c r="I25" s="90"/>
      <c r="J25" s="90"/>
      <c r="K25" s="90"/>
      <c r="L25" s="90"/>
      <c r="M25" s="90"/>
      <c r="N25" s="90"/>
      <c r="O25" s="87"/>
    </row>
    <row r="26" spans="1:15" ht="15" customHeight="1" x14ac:dyDescent="0.2">
      <c r="A26" s="10" t="s">
        <v>97</v>
      </c>
      <c r="B26" s="10" t="s">
        <v>419</v>
      </c>
      <c r="C26" s="88" t="s">
        <v>98</v>
      </c>
      <c r="D26" s="11" t="s">
        <v>99</v>
      </c>
      <c r="E26" s="12" t="s">
        <v>457</v>
      </c>
      <c r="F26" s="89">
        <v>38979</v>
      </c>
      <c r="G26" s="14" t="s">
        <v>428</v>
      </c>
      <c r="H26" s="90"/>
      <c r="I26" s="90"/>
      <c r="J26" s="90"/>
      <c r="K26" s="90"/>
      <c r="L26" s="90"/>
      <c r="M26" s="90"/>
      <c r="N26" s="90"/>
      <c r="O26" s="87"/>
    </row>
    <row r="27" spans="1:15" ht="15" customHeight="1" x14ac:dyDescent="0.2">
      <c r="A27" s="10" t="s">
        <v>106</v>
      </c>
      <c r="B27" s="10" t="s">
        <v>37</v>
      </c>
      <c r="C27" s="88" t="s">
        <v>108</v>
      </c>
      <c r="D27" s="11" t="s">
        <v>109</v>
      </c>
      <c r="E27" s="12" t="s">
        <v>110</v>
      </c>
      <c r="F27" s="89">
        <v>38991</v>
      </c>
      <c r="G27" s="14" t="s">
        <v>418</v>
      </c>
      <c r="H27" s="90"/>
      <c r="I27" s="90"/>
      <c r="J27" s="90"/>
      <c r="K27" s="90"/>
      <c r="L27" s="90"/>
      <c r="M27" s="90"/>
      <c r="N27" s="90"/>
      <c r="O27" s="87"/>
    </row>
    <row r="28" spans="1:15" ht="15" customHeight="1" x14ac:dyDescent="0.2">
      <c r="A28" s="10" t="s">
        <v>151</v>
      </c>
      <c r="B28" s="10" t="s">
        <v>419</v>
      </c>
      <c r="C28" s="88" t="s">
        <v>152</v>
      </c>
      <c r="D28" s="11" t="s">
        <v>153</v>
      </c>
      <c r="E28" s="12" t="s">
        <v>458</v>
      </c>
      <c r="F28" s="89">
        <v>39059</v>
      </c>
      <c r="G28" s="14" t="s">
        <v>429</v>
      </c>
      <c r="H28" s="90"/>
      <c r="I28" s="90"/>
      <c r="J28" s="90"/>
      <c r="K28" s="90"/>
      <c r="L28" s="90"/>
      <c r="M28" s="90"/>
      <c r="N28" s="90"/>
      <c r="O28" s="93"/>
    </row>
    <row r="29" spans="1:15" ht="15" customHeight="1" x14ac:dyDescent="0.2">
      <c r="A29" s="10" t="s">
        <v>202</v>
      </c>
      <c r="B29" s="10" t="s">
        <v>56</v>
      </c>
      <c r="C29" s="88" t="s">
        <v>203</v>
      </c>
      <c r="D29" s="11" t="s">
        <v>204</v>
      </c>
      <c r="E29" s="14">
        <v>5167.68</v>
      </c>
      <c r="F29" s="89">
        <v>38785</v>
      </c>
      <c r="G29" s="14" t="s">
        <v>418</v>
      </c>
      <c r="H29" s="90"/>
      <c r="I29" s="90"/>
      <c r="J29" s="90"/>
      <c r="K29" s="90"/>
      <c r="L29" s="90"/>
      <c r="M29" s="90"/>
      <c r="N29" s="90"/>
      <c r="O29" s="87"/>
    </row>
    <row r="30" spans="1:15" ht="15" customHeight="1" x14ac:dyDescent="0.2">
      <c r="A30" s="10" t="s">
        <v>49</v>
      </c>
      <c r="B30" s="10" t="s">
        <v>24</v>
      </c>
      <c r="C30" s="88" t="s">
        <v>50</v>
      </c>
      <c r="D30" s="11" t="s">
        <v>51</v>
      </c>
      <c r="E30" s="12" t="s">
        <v>459</v>
      </c>
      <c r="F30" s="89">
        <v>38829</v>
      </c>
      <c r="G30" s="14" t="s">
        <v>421</v>
      </c>
      <c r="H30" s="90"/>
      <c r="I30" s="90"/>
      <c r="J30" s="90"/>
      <c r="K30" s="90"/>
      <c r="L30" s="90"/>
      <c r="M30" s="90"/>
      <c r="N30" s="90"/>
      <c r="O30" s="87"/>
    </row>
    <row r="31" spans="1:15" ht="15" customHeight="1" x14ac:dyDescent="0.2">
      <c r="A31" s="10" t="s">
        <v>211</v>
      </c>
      <c r="B31" s="10" t="s">
        <v>56</v>
      </c>
      <c r="C31" s="88" t="s">
        <v>212</v>
      </c>
      <c r="D31" s="11" t="s">
        <v>213</v>
      </c>
      <c r="E31" s="14">
        <v>1890.12</v>
      </c>
      <c r="F31" s="89">
        <v>38794</v>
      </c>
      <c r="G31" s="14" t="s">
        <v>421</v>
      </c>
      <c r="H31" s="90"/>
      <c r="I31" s="90"/>
      <c r="J31" s="90"/>
      <c r="K31" s="90"/>
      <c r="L31" s="90"/>
      <c r="M31" s="90"/>
      <c r="N31" s="90"/>
      <c r="O31" s="87"/>
    </row>
    <row r="32" spans="1:15" ht="15" customHeight="1" x14ac:dyDescent="0.2">
      <c r="A32" s="10" t="s">
        <v>460</v>
      </c>
      <c r="B32" s="10" t="s">
        <v>419</v>
      </c>
      <c r="C32" s="88" t="s">
        <v>25</v>
      </c>
      <c r="D32" s="11" t="s">
        <v>461</v>
      </c>
      <c r="E32" s="14">
        <f>583.84*12</f>
        <v>7006.08</v>
      </c>
      <c r="F32" s="89">
        <v>38749</v>
      </c>
      <c r="G32" s="14" t="s">
        <v>422</v>
      </c>
      <c r="H32" s="90"/>
      <c r="I32" s="90"/>
      <c r="J32" s="90"/>
      <c r="K32" s="90"/>
      <c r="L32" s="90"/>
      <c r="M32" s="90"/>
      <c r="N32" s="90"/>
      <c r="O32" s="92"/>
    </row>
    <row r="33" spans="1:15" ht="15" customHeight="1" x14ac:dyDescent="0.2">
      <c r="A33" s="10" t="s">
        <v>30</v>
      </c>
      <c r="B33" s="10" t="s">
        <v>24</v>
      </c>
      <c r="C33" s="88" t="s">
        <v>25</v>
      </c>
      <c r="D33" s="11" t="s">
        <v>31</v>
      </c>
      <c r="E33" s="12" t="s">
        <v>32</v>
      </c>
      <c r="F33" s="89">
        <v>38807</v>
      </c>
      <c r="G33" s="14" t="s">
        <v>429</v>
      </c>
      <c r="H33" s="90"/>
      <c r="I33" s="90"/>
      <c r="J33" s="90"/>
      <c r="K33" s="90"/>
      <c r="L33" s="90"/>
      <c r="M33" s="90"/>
      <c r="N33" s="90"/>
      <c r="O33" s="87"/>
    </row>
    <row r="34" spans="1:15" ht="15" customHeight="1" x14ac:dyDescent="0.2">
      <c r="A34" s="10" t="s">
        <v>22</v>
      </c>
      <c r="B34" s="10" t="s">
        <v>24</v>
      </c>
      <c r="C34" s="88" t="s">
        <v>25</v>
      </c>
      <c r="D34" s="11" t="s">
        <v>26</v>
      </c>
      <c r="E34" s="12" t="s">
        <v>27</v>
      </c>
      <c r="F34" s="89">
        <v>38843</v>
      </c>
      <c r="G34" s="14" t="s">
        <v>429</v>
      </c>
      <c r="H34" s="90"/>
      <c r="I34" s="90"/>
      <c r="J34" s="90"/>
      <c r="K34" s="90"/>
      <c r="L34" s="90"/>
      <c r="M34" s="90"/>
      <c r="N34" s="90"/>
      <c r="O34" s="87"/>
    </row>
    <row r="35" spans="1:15" ht="15" customHeight="1" x14ac:dyDescent="0.2">
      <c r="A35" s="10" t="s">
        <v>91</v>
      </c>
      <c r="B35" s="10" t="s">
        <v>462</v>
      </c>
      <c r="C35" s="88" t="s">
        <v>93</v>
      </c>
      <c r="D35" s="11" t="s">
        <v>94</v>
      </c>
      <c r="E35" s="14">
        <v>630288</v>
      </c>
      <c r="F35" s="89">
        <v>38939</v>
      </c>
      <c r="G35" s="14" t="s">
        <v>463</v>
      </c>
      <c r="H35" s="90"/>
      <c r="I35" s="90"/>
      <c r="J35" s="90"/>
      <c r="K35" s="90"/>
      <c r="L35" s="90"/>
      <c r="M35" s="90"/>
      <c r="N35" s="90"/>
      <c r="O35" s="93"/>
    </row>
    <row r="36" spans="1:15" ht="15" customHeight="1" x14ac:dyDescent="0.2">
      <c r="A36" s="10" t="s">
        <v>135</v>
      </c>
      <c r="B36" s="10" t="s">
        <v>130</v>
      </c>
      <c r="C36" s="88" t="s">
        <v>136</v>
      </c>
      <c r="D36" s="11" t="s">
        <v>132</v>
      </c>
      <c r="E36" s="14" t="s">
        <v>133</v>
      </c>
      <c r="F36" s="89">
        <v>39033</v>
      </c>
      <c r="G36" s="14" t="s">
        <v>418</v>
      </c>
      <c r="H36" s="90"/>
      <c r="I36" s="90"/>
      <c r="J36" s="90"/>
      <c r="K36" s="90"/>
      <c r="L36" s="90"/>
      <c r="M36" s="90"/>
      <c r="N36" s="90"/>
      <c r="O36" s="87"/>
    </row>
    <row r="37" spans="1:15" ht="15" customHeight="1" x14ac:dyDescent="0.2">
      <c r="A37" s="10" t="s">
        <v>65</v>
      </c>
      <c r="B37" s="10" t="s">
        <v>67</v>
      </c>
      <c r="C37" s="88" t="s">
        <v>68</v>
      </c>
      <c r="D37" s="11" t="s">
        <v>69</v>
      </c>
      <c r="E37" s="12" t="s">
        <v>464</v>
      </c>
      <c r="F37" s="89">
        <v>38878</v>
      </c>
      <c r="G37" s="14" t="s">
        <v>429</v>
      </c>
      <c r="H37" s="90"/>
      <c r="I37" s="90"/>
      <c r="J37" s="90"/>
      <c r="K37" s="90"/>
      <c r="L37" s="90"/>
      <c r="M37" s="90"/>
      <c r="N37" s="90"/>
      <c r="O37" s="87"/>
    </row>
    <row r="38" spans="1:15" ht="15" customHeight="1" x14ac:dyDescent="0.2">
      <c r="A38" s="33" t="s">
        <v>146</v>
      </c>
      <c r="B38" s="33" t="s">
        <v>37</v>
      </c>
      <c r="C38" s="94" t="s">
        <v>148</v>
      </c>
      <c r="D38" s="34" t="s">
        <v>149</v>
      </c>
      <c r="E38" s="37" t="s">
        <v>133</v>
      </c>
      <c r="F38" s="95" t="s">
        <v>465</v>
      </c>
      <c r="G38" s="37" t="s">
        <v>422</v>
      </c>
      <c r="H38" s="96"/>
      <c r="I38" s="96"/>
      <c r="J38" s="96"/>
      <c r="K38" s="96"/>
      <c r="L38" s="96"/>
      <c r="M38" s="96"/>
      <c r="N38" s="96"/>
      <c r="O38" s="87"/>
    </row>
    <row r="39" spans="1:15" ht="15" customHeight="1" x14ac:dyDescent="0.2">
      <c r="A39" s="97" t="s">
        <v>155</v>
      </c>
      <c r="B39" s="97" t="s">
        <v>419</v>
      </c>
      <c r="C39" s="98" t="s">
        <v>156</v>
      </c>
      <c r="D39" s="99" t="s">
        <v>157</v>
      </c>
      <c r="E39" s="100">
        <v>1060</v>
      </c>
      <c r="F39" s="101">
        <v>39068</v>
      </c>
      <c r="G39" s="100" t="s">
        <v>422</v>
      </c>
      <c r="H39" s="102"/>
      <c r="I39" s="102"/>
      <c r="J39" s="102"/>
      <c r="K39" s="102"/>
      <c r="L39" s="102"/>
      <c r="M39" s="102"/>
      <c r="N39" s="102"/>
      <c r="O39" s="87"/>
    </row>
    <row r="40" spans="1:15" ht="12.6" customHeight="1" x14ac:dyDescent="0.2">
      <c r="A40" s="52"/>
      <c r="B40" s="52"/>
      <c r="D40" s="52"/>
      <c r="F40" s="52"/>
      <c r="O40" s="87"/>
    </row>
    <row r="41" spans="1:15" ht="12.6" customHeight="1" x14ac:dyDescent="0.2">
      <c r="A41" s="52"/>
      <c r="B41" s="52"/>
      <c r="C41" s="52"/>
      <c r="D41" s="52"/>
      <c r="F41" s="52"/>
    </row>
    <row r="42" spans="1:15" ht="12.6" customHeight="1" x14ac:dyDescent="0.2">
      <c r="A42" s="52"/>
      <c r="B42" s="52"/>
      <c r="C42" s="53" t="s">
        <v>466</v>
      </c>
      <c r="D42" s="52"/>
      <c r="F42" s="52"/>
      <c r="G42" s="937" t="s">
        <v>467</v>
      </c>
      <c r="H42" s="937"/>
      <c r="I42" s="937"/>
      <c r="J42" s="937"/>
      <c r="K42" s="937"/>
      <c r="L42" s="937"/>
      <c r="M42" s="937"/>
      <c r="N42" s="937"/>
    </row>
    <row r="43" spans="1:15" ht="12.6" customHeight="1" x14ac:dyDescent="0.2">
      <c r="A43" s="52"/>
      <c r="B43" s="52"/>
      <c r="C43" s="53" t="s">
        <v>236</v>
      </c>
      <c r="D43" s="52"/>
      <c r="F43" s="52"/>
      <c r="G43" s="938">
        <v>38717</v>
      </c>
      <c r="H43" s="938"/>
      <c r="I43" s="938"/>
      <c r="J43" s="938"/>
      <c r="K43" s="938"/>
      <c r="L43" s="938"/>
      <c r="M43" s="938"/>
      <c r="N43" s="938"/>
    </row>
    <row r="44" spans="1:15" ht="12.6" customHeight="1" x14ac:dyDescent="0.2">
      <c r="A44" s="52"/>
      <c r="B44" s="52"/>
      <c r="C44" s="53" t="s">
        <v>237</v>
      </c>
      <c r="D44" s="52"/>
      <c r="F44" s="52"/>
    </row>
    <row r="45" spans="1:15" ht="12.6" customHeight="1" x14ac:dyDescent="0.2">
      <c r="A45" s="52"/>
      <c r="B45" s="52"/>
      <c r="C45" s="52"/>
      <c r="D45" s="52"/>
      <c r="F45" s="52"/>
    </row>
    <row r="46" spans="1:15" ht="12.6" customHeight="1" x14ac:dyDescent="0.2">
      <c r="A46" s="52"/>
      <c r="B46" s="52"/>
      <c r="C46" s="52"/>
      <c r="D46" s="52"/>
      <c r="F46" s="52"/>
    </row>
    <row r="47" spans="1:15" ht="14.1" customHeight="1" x14ac:dyDescent="0.2">
      <c r="A47" s="52"/>
      <c r="B47" s="52"/>
      <c r="C47" s="52"/>
      <c r="D47" s="52"/>
      <c r="F47" s="52"/>
    </row>
  </sheetData>
  <sheetProtection sheet="1" objects="1" scenarios="1"/>
  <mergeCells count="13">
    <mergeCell ref="F2:F3"/>
    <mergeCell ref="G2:G3"/>
    <mergeCell ref="H2:H3"/>
    <mergeCell ref="I2:M2"/>
    <mergeCell ref="N2:N3"/>
    <mergeCell ref="G42:N42"/>
    <mergeCell ref="G43:N43"/>
    <mergeCell ref="A1:N1"/>
    <mergeCell ref="A2:A3"/>
    <mergeCell ref="B2:B3"/>
    <mergeCell ref="C2:C3"/>
    <mergeCell ref="D2:D3"/>
    <mergeCell ref="E2:E3"/>
  </mergeCells>
  <phoneticPr fontId="2" type="noConversion"/>
  <pageMargins left="0.39374999999999999" right="0.39374999999999999" top="0.39374999999999999" bottom="0.39374999999999999" header="0.31527777777777777" footer="0.51180555555555551"/>
  <pageSetup paperSize="9" scale="84" firstPageNumber="0" orientation="landscape" horizontalDpi="300" verticalDpi="300" r:id="rId1"/>
  <headerFooter alignWithMargins="0">
    <oddHeader>&amp;RPágina &amp;P de &amp;N</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9"/>
  <sheetViews>
    <sheetView zoomScale="118" zoomScaleNormal="118" workbookViewId="0">
      <pane ySplit="10" topLeftCell="A16" activePane="bottomLeft" state="frozen"/>
      <selection activeCell="E1" sqref="E1"/>
      <selection pane="bottomLeft" activeCell="D21" sqref="D21"/>
    </sheetView>
  </sheetViews>
  <sheetFormatPr defaultRowHeight="14.1" customHeight="1" x14ac:dyDescent="0.2"/>
  <cols>
    <col min="1" max="1" width="10.140625" style="1" customWidth="1"/>
    <col min="2" max="2" width="12.28515625" style="1" customWidth="1"/>
    <col min="3" max="3" width="16" style="1" hidden="1" customWidth="1"/>
    <col min="4" max="4" width="57.5703125" style="1" customWidth="1"/>
    <col min="5" max="5" width="71.42578125" style="1" customWidth="1"/>
    <col min="6" max="6" width="13.7109375" style="2" customWidth="1"/>
    <col min="7" max="7" width="0" style="2" hidden="1" customWidth="1"/>
    <col min="8" max="8" width="12.28515625" style="1" customWidth="1"/>
    <col min="9" max="9" width="32.140625" style="103" customWidth="1"/>
    <col min="10" max="16" width="0" style="1" hidden="1" customWidth="1"/>
    <col min="17" max="17" width="17.5703125" style="1" customWidth="1"/>
    <col min="18" max="18" width="0" style="1" hidden="1" customWidth="1"/>
    <col min="19" max="19" width="8.85546875" style="1" hidden="1" customWidth="1"/>
    <col min="20" max="16384" width="9.140625" style="1"/>
  </cols>
  <sheetData>
    <row r="1" spans="1:19" ht="11.1" customHeight="1" x14ac:dyDescent="0.2">
      <c r="I1" s="104"/>
    </row>
    <row r="2" spans="1:19" ht="11.1" customHeight="1" x14ac:dyDescent="0.2"/>
    <row r="3" spans="1:19" ht="11.1" customHeight="1" x14ac:dyDescent="0.2"/>
    <row r="4" spans="1:19" ht="11.1" customHeight="1" x14ac:dyDescent="0.2"/>
    <row r="5" spans="1:19" ht="11.1" customHeight="1" x14ac:dyDescent="0.2"/>
    <row r="6" spans="1:19" ht="15.6" customHeight="1" x14ac:dyDescent="0.2">
      <c r="Q6" s="3" t="s">
        <v>0</v>
      </c>
      <c r="R6" s="3"/>
    </row>
    <row r="7" spans="1:19" ht="12.6" customHeight="1" x14ac:dyDescent="0.2">
      <c r="Q7" s="4">
        <v>39447</v>
      </c>
      <c r="R7" s="4"/>
    </row>
    <row r="8" spans="1:19" ht="16.350000000000001" customHeight="1" x14ac:dyDescent="0.25">
      <c r="A8" s="929" t="s">
        <v>1</v>
      </c>
      <c r="B8" s="929"/>
      <c r="C8" s="929"/>
      <c r="D8" s="929"/>
      <c r="E8" s="929"/>
      <c r="F8" s="929"/>
      <c r="G8" s="929"/>
      <c r="H8" s="929"/>
      <c r="I8" s="929"/>
      <c r="J8" s="929"/>
      <c r="K8" s="929"/>
      <c r="L8" s="929"/>
      <c r="M8" s="929"/>
      <c r="N8" s="929"/>
      <c r="O8" s="929"/>
      <c r="P8" s="929"/>
      <c r="Q8" s="929"/>
      <c r="R8" s="929"/>
      <c r="S8" s="929"/>
    </row>
    <row r="9" spans="1:19" s="107" customFormat="1" ht="13.9" customHeight="1" x14ac:dyDescent="0.2">
      <c r="A9" s="947" t="s">
        <v>2</v>
      </c>
      <c r="B9" s="943" t="s">
        <v>3</v>
      </c>
      <c r="C9" s="943" t="s">
        <v>4</v>
      </c>
      <c r="D9" s="943" t="s">
        <v>5</v>
      </c>
      <c r="E9" s="942" t="s">
        <v>6</v>
      </c>
      <c r="F9" s="942" t="s">
        <v>7</v>
      </c>
      <c r="G9" s="942" t="s">
        <v>241</v>
      </c>
      <c r="H9" s="948" t="s">
        <v>8</v>
      </c>
      <c r="I9" s="943" t="s">
        <v>9</v>
      </c>
      <c r="J9" s="943" t="s">
        <v>10</v>
      </c>
      <c r="K9" s="946" t="s">
        <v>11</v>
      </c>
      <c r="L9" s="946"/>
      <c r="M9" s="946"/>
      <c r="N9" s="946"/>
      <c r="O9" s="946"/>
      <c r="P9" s="943" t="s">
        <v>12</v>
      </c>
      <c r="Q9" s="105" t="s">
        <v>468</v>
      </c>
      <c r="R9" s="106" t="s">
        <v>14</v>
      </c>
      <c r="S9" s="944" t="s">
        <v>15</v>
      </c>
    </row>
    <row r="10" spans="1:19" s="107" customFormat="1" ht="13.9" customHeight="1" x14ac:dyDescent="0.2">
      <c r="A10" s="947"/>
      <c r="B10" s="943"/>
      <c r="C10" s="943"/>
      <c r="D10" s="943"/>
      <c r="E10" s="942"/>
      <c r="F10" s="942"/>
      <c r="G10" s="942"/>
      <c r="H10" s="948"/>
      <c r="I10" s="943"/>
      <c r="J10" s="943"/>
      <c r="K10" s="108" t="s">
        <v>16</v>
      </c>
      <c r="L10" s="108" t="s">
        <v>17</v>
      </c>
      <c r="M10" s="108" t="s">
        <v>18</v>
      </c>
      <c r="N10" s="108" t="s">
        <v>19</v>
      </c>
      <c r="O10" s="108" t="s">
        <v>20</v>
      </c>
      <c r="P10" s="943"/>
      <c r="Q10" s="109" t="s">
        <v>469</v>
      </c>
      <c r="R10" s="110" t="s">
        <v>244</v>
      </c>
      <c r="S10" s="944"/>
    </row>
    <row r="11" spans="1:19" s="124" customFormat="1" ht="20.100000000000001" customHeight="1" x14ac:dyDescent="0.2">
      <c r="A11" s="111" t="s">
        <v>77</v>
      </c>
      <c r="B11" s="112" t="s">
        <v>23</v>
      </c>
      <c r="C11" s="112" t="s">
        <v>24</v>
      </c>
      <c r="D11" s="113" t="s">
        <v>78</v>
      </c>
      <c r="E11" s="114" t="s">
        <v>79</v>
      </c>
      <c r="F11" s="115" t="s">
        <v>470</v>
      </c>
      <c r="G11" s="116">
        <f t="shared" ref="G11:G35" si="0">H11-$Q$7</f>
        <v>-182</v>
      </c>
      <c r="H11" s="117">
        <v>39265</v>
      </c>
      <c r="I11" s="118" t="s">
        <v>81</v>
      </c>
      <c r="J11" s="119"/>
      <c r="K11" s="120"/>
      <c r="L11" s="120"/>
      <c r="M11" s="120"/>
      <c r="N11" s="120"/>
      <c r="O11" s="120"/>
      <c r="P11" s="119"/>
      <c r="Q11" s="121">
        <v>38930</v>
      </c>
      <c r="R11" s="122"/>
      <c r="S11" s="123" t="s">
        <v>34</v>
      </c>
    </row>
    <row r="12" spans="1:19" s="54" customFormat="1" ht="20.100000000000001" customHeight="1" x14ac:dyDescent="0.2">
      <c r="A12" s="125" t="s">
        <v>137</v>
      </c>
      <c r="B12" s="126" t="s">
        <v>23</v>
      </c>
      <c r="C12" s="126" t="s">
        <v>56</v>
      </c>
      <c r="D12" s="127" t="s">
        <v>180</v>
      </c>
      <c r="E12" s="127" t="s">
        <v>181</v>
      </c>
      <c r="F12" s="128" t="s">
        <v>182</v>
      </c>
      <c r="G12" s="129">
        <f t="shared" si="0"/>
        <v>3</v>
      </c>
      <c r="H12" s="130">
        <v>39450</v>
      </c>
      <c r="I12" s="131" t="s">
        <v>183</v>
      </c>
      <c r="J12" s="132"/>
      <c r="K12" s="132"/>
      <c r="L12" s="132"/>
      <c r="M12" s="132"/>
      <c r="N12" s="132"/>
      <c r="O12" s="132"/>
      <c r="P12" s="132"/>
      <c r="Q12" s="133">
        <v>39086</v>
      </c>
      <c r="R12" s="134" t="str">
        <f t="shared" ref="R12:R35" ca="1" si="1">IF(AND(C12&lt;&gt;"DISPENSADA",C12&lt;&gt;"DISPENSÁVEL",C12&lt;&gt;"INEXIGÍVEL"),DATE(YEAR(Q12)+6,MONTH(Q12),DAY(Q12))-TODAY(),"------")</f>
        <v>------</v>
      </c>
      <c r="S12" s="135" t="s">
        <v>48</v>
      </c>
    </row>
    <row r="13" spans="1:19" s="54" customFormat="1" ht="20.100000000000001" customHeight="1" x14ac:dyDescent="0.2">
      <c r="A13" s="125" t="s">
        <v>189</v>
      </c>
      <c r="B13" s="126" t="s">
        <v>23</v>
      </c>
      <c r="C13" s="126" t="s">
        <v>61</v>
      </c>
      <c r="D13" s="127" t="s">
        <v>190</v>
      </c>
      <c r="E13" s="127" t="s">
        <v>191</v>
      </c>
      <c r="F13" s="136">
        <v>1959.48</v>
      </c>
      <c r="G13" s="129">
        <f t="shared" si="0"/>
        <v>33</v>
      </c>
      <c r="H13" s="137">
        <v>39480</v>
      </c>
      <c r="I13" s="138" t="s">
        <v>192</v>
      </c>
      <c r="J13" s="139"/>
      <c r="K13" s="139"/>
      <c r="L13" s="139"/>
      <c r="M13" s="139"/>
      <c r="N13" s="139"/>
      <c r="O13" s="139"/>
      <c r="P13" s="139"/>
      <c r="Q13" s="140">
        <v>38385</v>
      </c>
      <c r="R13" s="134" t="str">
        <f t="shared" ca="1" si="1"/>
        <v>------</v>
      </c>
      <c r="S13" s="135" t="s">
        <v>48</v>
      </c>
    </row>
    <row r="14" spans="1:19" s="54" customFormat="1" ht="20.100000000000001" customHeight="1" x14ac:dyDescent="0.2">
      <c r="A14" s="125" t="s">
        <v>193</v>
      </c>
      <c r="B14" s="126" t="s">
        <v>23</v>
      </c>
      <c r="C14" s="126" t="s">
        <v>56</v>
      </c>
      <c r="D14" s="127" t="s">
        <v>194</v>
      </c>
      <c r="E14" s="127" t="s">
        <v>195</v>
      </c>
      <c r="F14" s="136">
        <v>15600</v>
      </c>
      <c r="G14" s="129">
        <f t="shared" si="0"/>
        <v>42</v>
      </c>
      <c r="H14" s="137">
        <v>39489</v>
      </c>
      <c r="I14" s="138" t="s">
        <v>196</v>
      </c>
      <c r="J14" s="139"/>
      <c r="K14" s="139"/>
      <c r="L14" s="139"/>
      <c r="M14" s="139"/>
      <c r="N14" s="139"/>
      <c r="O14" s="139"/>
      <c r="P14" s="139"/>
      <c r="Q14" s="140">
        <v>39125</v>
      </c>
      <c r="R14" s="134" t="str">
        <f t="shared" ca="1" si="1"/>
        <v>------</v>
      </c>
      <c r="S14" s="135" t="s">
        <v>48</v>
      </c>
    </row>
    <row r="15" spans="1:19" s="54" customFormat="1" ht="20.100000000000001" customHeight="1" x14ac:dyDescent="0.2">
      <c r="A15" s="125" t="s">
        <v>197</v>
      </c>
      <c r="B15" s="126" t="s">
        <v>23</v>
      </c>
      <c r="C15" s="126" t="s">
        <v>56</v>
      </c>
      <c r="D15" s="127" t="s">
        <v>198</v>
      </c>
      <c r="E15" s="127" t="s">
        <v>337</v>
      </c>
      <c r="F15" s="136" t="s">
        <v>471</v>
      </c>
      <c r="G15" s="129">
        <f t="shared" si="0"/>
        <v>59</v>
      </c>
      <c r="H15" s="137">
        <v>39506</v>
      </c>
      <c r="I15" s="138" t="s">
        <v>472</v>
      </c>
      <c r="J15" s="139"/>
      <c r="K15" s="139"/>
      <c r="L15" s="139"/>
      <c r="M15" s="139"/>
      <c r="N15" s="139"/>
      <c r="O15" s="139"/>
      <c r="P15" s="139"/>
      <c r="Q15" s="140">
        <v>38412</v>
      </c>
      <c r="R15" s="134" t="str">
        <f t="shared" ca="1" si="1"/>
        <v>------</v>
      </c>
      <c r="S15" s="135" t="s">
        <v>201</v>
      </c>
    </row>
    <row r="16" spans="1:19" s="54" customFormat="1" ht="20.100000000000001" customHeight="1" x14ac:dyDescent="0.2">
      <c r="A16" s="125" t="s">
        <v>202</v>
      </c>
      <c r="B16" s="126" t="s">
        <v>23</v>
      </c>
      <c r="C16" s="126" t="s">
        <v>56</v>
      </c>
      <c r="D16" s="127" t="s">
        <v>340</v>
      </c>
      <c r="E16" s="127" t="s">
        <v>204</v>
      </c>
      <c r="F16" s="136">
        <v>7704</v>
      </c>
      <c r="G16" s="129">
        <f t="shared" si="0"/>
        <v>69</v>
      </c>
      <c r="H16" s="137">
        <v>39516</v>
      </c>
      <c r="I16" s="138" t="s">
        <v>473</v>
      </c>
      <c r="J16" s="139"/>
      <c r="K16" s="139"/>
      <c r="L16" s="139"/>
      <c r="M16" s="139"/>
      <c r="N16" s="139"/>
      <c r="O16" s="139"/>
      <c r="P16" s="139"/>
      <c r="Q16" s="140">
        <v>37711</v>
      </c>
      <c r="R16" s="134" t="str">
        <f t="shared" ca="1" si="1"/>
        <v>------</v>
      </c>
      <c r="S16" s="135" t="s">
        <v>96</v>
      </c>
    </row>
    <row r="17" spans="1:19" s="54" customFormat="1" ht="20.100000000000001" customHeight="1" x14ac:dyDescent="0.2">
      <c r="A17" s="125" t="s">
        <v>206</v>
      </c>
      <c r="B17" s="126" t="s">
        <v>23</v>
      </c>
      <c r="C17" s="126" t="s">
        <v>56</v>
      </c>
      <c r="D17" s="127" t="s">
        <v>207</v>
      </c>
      <c r="E17" s="127" t="s">
        <v>208</v>
      </c>
      <c r="F17" s="136" t="s">
        <v>209</v>
      </c>
      <c r="G17" s="129">
        <f t="shared" si="0"/>
        <v>76</v>
      </c>
      <c r="H17" s="137">
        <v>39523</v>
      </c>
      <c r="I17" s="138" t="s">
        <v>210</v>
      </c>
      <c r="J17" s="139"/>
      <c r="K17" s="139"/>
      <c r="L17" s="139"/>
      <c r="M17" s="139"/>
      <c r="N17" s="139"/>
      <c r="O17" s="139"/>
      <c r="P17" s="139"/>
      <c r="Q17" s="140">
        <v>38062</v>
      </c>
      <c r="R17" s="134" t="str">
        <f t="shared" ca="1" si="1"/>
        <v>------</v>
      </c>
      <c r="S17" s="135" t="s">
        <v>48</v>
      </c>
    </row>
    <row r="18" spans="1:19" s="54" customFormat="1" ht="20.100000000000001" customHeight="1" x14ac:dyDescent="0.2">
      <c r="A18" s="125" t="s">
        <v>211</v>
      </c>
      <c r="B18" s="126" t="s">
        <v>23</v>
      </c>
      <c r="C18" s="126" t="s">
        <v>56</v>
      </c>
      <c r="D18" s="127" t="s">
        <v>212</v>
      </c>
      <c r="E18" s="127" t="s">
        <v>474</v>
      </c>
      <c r="F18" s="136">
        <v>1987.68</v>
      </c>
      <c r="G18" s="129">
        <f t="shared" si="0"/>
        <v>78</v>
      </c>
      <c r="H18" s="137">
        <v>39525</v>
      </c>
      <c r="I18" s="138" t="s">
        <v>214</v>
      </c>
      <c r="J18" s="139"/>
      <c r="K18" s="139"/>
      <c r="L18" s="139"/>
      <c r="M18" s="139"/>
      <c r="N18" s="139"/>
      <c r="O18" s="139"/>
      <c r="P18" s="139"/>
      <c r="Q18" s="140">
        <v>37700</v>
      </c>
      <c r="R18" s="134" t="str">
        <f t="shared" ca="1" si="1"/>
        <v>------</v>
      </c>
      <c r="S18" s="135" t="s">
        <v>48</v>
      </c>
    </row>
    <row r="19" spans="1:19" s="54" customFormat="1" ht="20.100000000000001" customHeight="1" x14ac:dyDescent="0.2">
      <c r="A19" s="141" t="s">
        <v>286</v>
      </c>
      <c r="B19" s="142" t="s">
        <v>251</v>
      </c>
      <c r="C19" s="143" t="s">
        <v>37</v>
      </c>
      <c r="D19" s="144" t="s">
        <v>287</v>
      </c>
      <c r="E19" s="144" t="s">
        <v>288</v>
      </c>
      <c r="F19" s="136" t="s">
        <v>475</v>
      </c>
      <c r="G19" s="129">
        <f t="shared" si="0"/>
        <v>96</v>
      </c>
      <c r="H19" s="137">
        <v>39543</v>
      </c>
      <c r="I19" s="145" t="s">
        <v>476</v>
      </c>
      <c r="J19" s="146"/>
      <c r="K19" s="146"/>
      <c r="L19" s="146"/>
      <c r="M19" s="146"/>
      <c r="N19" s="146"/>
      <c r="O19" s="146"/>
      <c r="P19" s="146"/>
      <c r="Q19" s="147">
        <v>39300</v>
      </c>
      <c r="R19" s="148">
        <f t="shared" ca="1" si="1"/>
        <v>-2890</v>
      </c>
      <c r="S19" s="149" t="s">
        <v>201</v>
      </c>
    </row>
    <row r="20" spans="1:19" s="54" customFormat="1" ht="20.100000000000001" customHeight="1" x14ac:dyDescent="0.2">
      <c r="A20" s="125" t="s">
        <v>35</v>
      </c>
      <c r="B20" s="150" t="s">
        <v>36</v>
      </c>
      <c r="C20" s="126" t="s">
        <v>37</v>
      </c>
      <c r="D20" s="127" t="s">
        <v>38</v>
      </c>
      <c r="E20" s="127" t="s">
        <v>39</v>
      </c>
      <c r="F20" s="136">
        <v>91290</v>
      </c>
      <c r="G20" s="129">
        <f t="shared" si="0"/>
        <v>97</v>
      </c>
      <c r="H20" s="137">
        <v>39544</v>
      </c>
      <c r="I20" s="138" t="s">
        <v>477</v>
      </c>
      <c r="J20" s="139"/>
      <c r="K20" s="139"/>
      <c r="L20" s="139"/>
      <c r="M20" s="139"/>
      <c r="N20" s="139"/>
      <c r="O20" s="139"/>
      <c r="P20" s="139"/>
      <c r="Q20" s="140">
        <v>38084</v>
      </c>
      <c r="R20" s="134">
        <f t="shared" ca="1" si="1"/>
        <v>-4107</v>
      </c>
      <c r="S20" s="135" t="s">
        <v>41</v>
      </c>
    </row>
    <row r="21" spans="1:19" s="54" customFormat="1" ht="20.100000000000001" customHeight="1" x14ac:dyDescent="0.2">
      <c r="A21" s="125" t="s">
        <v>49</v>
      </c>
      <c r="B21" s="126" t="s">
        <v>23</v>
      </c>
      <c r="C21" s="126" t="s">
        <v>24</v>
      </c>
      <c r="D21" s="127" t="s">
        <v>50</v>
      </c>
      <c r="E21" s="127" t="s">
        <v>51</v>
      </c>
      <c r="F21" s="136" t="s">
        <v>52</v>
      </c>
      <c r="G21" s="129">
        <f t="shared" si="0"/>
        <v>113</v>
      </c>
      <c r="H21" s="137">
        <v>39560</v>
      </c>
      <c r="I21" s="138" t="s">
        <v>478</v>
      </c>
      <c r="J21" s="139"/>
      <c r="K21" s="139"/>
      <c r="L21" s="139"/>
      <c r="M21" s="139"/>
      <c r="N21" s="139"/>
      <c r="O21" s="139"/>
      <c r="P21" s="139"/>
      <c r="Q21" s="140">
        <v>37733</v>
      </c>
      <c r="R21" s="134" t="str">
        <f t="shared" ca="1" si="1"/>
        <v>------</v>
      </c>
      <c r="S21" s="135" t="s">
        <v>54</v>
      </c>
    </row>
    <row r="22" spans="1:19" s="54" customFormat="1" ht="20.100000000000001" customHeight="1" x14ac:dyDescent="0.2">
      <c r="A22" s="151" t="s">
        <v>55</v>
      </c>
      <c r="B22" s="152" t="s">
        <v>23</v>
      </c>
      <c r="C22" s="152" t="s">
        <v>56</v>
      </c>
      <c r="D22" s="139" t="s">
        <v>57</v>
      </c>
      <c r="E22" s="139" t="s">
        <v>58</v>
      </c>
      <c r="F22" s="153">
        <v>4200</v>
      </c>
      <c r="G22" s="129">
        <f t="shared" si="0"/>
        <v>115</v>
      </c>
      <c r="H22" s="154">
        <v>39562</v>
      </c>
      <c r="I22" s="155" t="s">
        <v>479</v>
      </c>
      <c r="J22" s="139"/>
      <c r="K22" s="139"/>
      <c r="L22" s="139"/>
      <c r="M22" s="139"/>
      <c r="N22" s="139"/>
      <c r="O22" s="139"/>
      <c r="P22" s="139"/>
      <c r="Q22" s="140">
        <v>38832</v>
      </c>
      <c r="R22" s="134" t="str">
        <f t="shared" ca="1" si="1"/>
        <v>------</v>
      </c>
      <c r="S22" s="156" t="s">
        <v>48</v>
      </c>
    </row>
    <row r="23" spans="1:19" s="54" customFormat="1" ht="20.100000000000001" customHeight="1" x14ac:dyDescent="0.2">
      <c r="A23" s="125" t="s">
        <v>22</v>
      </c>
      <c r="B23" s="126" t="s">
        <v>23</v>
      </c>
      <c r="C23" s="126" t="s">
        <v>24</v>
      </c>
      <c r="D23" s="127" t="s">
        <v>25</v>
      </c>
      <c r="E23" s="127" t="s">
        <v>26</v>
      </c>
      <c r="F23" s="136" t="s">
        <v>480</v>
      </c>
      <c r="G23" s="129">
        <f t="shared" si="0"/>
        <v>127</v>
      </c>
      <c r="H23" s="137">
        <v>39574</v>
      </c>
      <c r="I23" s="138" t="s">
        <v>481</v>
      </c>
      <c r="J23" s="139"/>
      <c r="K23" s="139"/>
      <c r="L23" s="139"/>
      <c r="M23" s="139"/>
      <c r="N23" s="139"/>
      <c r="O23" s="139"/>
      <c r="P23" s="139"/>
      <c r="Q23" s="140">
        <v>37383</v>
      </c>
      <c r="R23" s="134" t="str">
        <f t="shared" ca="1" si="1"/>
        <v>------</v>
      </c>
      <c r="S23" s="135" t="s">
        <v>29</v>
      </c>
    </row>
    <row r="24" spans="1:19" s="54" customFormat="1" ht="20.100000000000001" customHeight="1" x14ac:dyDescent="0.2">
      <c r="A24" s="125" t="s">
        <v>60</v>
      </c>
      <c r="B24" s="126" t="s">
        <v>23</v>
      </c>
      <c r="C24" s="126" t="s">
        <v>61</v>
      </c>
      <c r="D24" s="127" t="s">
        <v>62</v>
      </c>
      <c r="E24" s="127" t="s">
        <v>63</v>
      </c>
      <c r="F24" s="136">
        <v>8644.56</v>
      </c>
      <c r="G24" s="129">
        <f t="shared" si="0"/>
        <v>155</v>
      </c>
      <c r="H24" s="137">
        <v>39602</v>
      </c>
      <c r="I24" s="138" t="s">
        <v>482</v>
      </c>
      <c r="J24" s="139"/>
      <c r="K24" s="139"/>
      <c r="L24" s="139"/>
      <c r="M24" s="139"/>
      <c r="N24" s="139"/>
      <c r="O24" s="139"/>
      <c r="P24" s="139"/>
      <c r="Q24" s="140">
        <v>37410</v>
      </c>
      <c r="R24" s="134" t="str">
        <f t="shared" ca="1" si="1"/>
        <v>------</v>
      </c>
      <c r="S24" s="135" t="s">
        <v>48</v>
      </c>
    </row>
    <row r="25" spans="1:19" s="54" customFormat="1" ht="20.100000000000001" customHeight="1" x14ac:dyDescent="0.2">
      <c r="A25" s="125" t="s">
        <v>65</v>
      </c>
      <c r="B25" s="157" t="s">
        <v>66</v>
      </c>
      <c r="C25" s="126" t="s">
        <v>67</v>
      </c>
      <c r="D25" s="127" t="s">
        <v>68</v>
      </c>
      <c r="E25" s="158" t="s">
        <v>69</v>
      </c>
      <c r="F25" s="136" t="s">
        <v>483</v>
      </c>
      <c r="G25" s="129">
        <f t="shared" si="0"/>
        <v>162</v>
      </c>
      <c r="H25" s="137">
        <v>39609</v>
      </c>
      <c r="I25" s="159" t="s">
        <v>484</v>
      </c>
      <c r="J25" s="139"/>
      <c r="K25" s="139"/>
      <c r="L25" s="139"/>
      <c r="M25" s="139"/>
      <c r="N25" s="139"/>
      <c r="O25" s="139"/>
      <c r="P25" s="139"/>
      <c r="Q25" s="140">
        <v>37417</v>
      </c>
      <c r="R25" s="134">
        <f t="shared" ca="1" si="1"/>
        <v>-4773</v>
      </c>
      <c r="S25" s="135" t="s">
        <v>48</v>
      </c>
    </row>
    <row r="26" spans="1:19" s="54" customFormat="1" ht="20.100000000000001" customHeight="1" x14ac:dyDescent="0.2">
      <c r="A26" s="125" t="s">
        <v>72</v>
      </c>
      <c r="B26" s="126" t="s">
        <v>23</v>
      </c>
      <c r="C26" s="126" t="s">
        <v>61</v>
      </c>
      <c r="D26" s="127" t="s">
        <v>73</v>
      </c>
      <c r="E26" s="127" t="s">
        <v>74</v>
      </c>
      <c r="F26" s="136" t="s">
        <v>75</v>
      </c>
      <c r="G26" s="129">
        <f t="shared" si="0"/>
        <v>162</v>
      </c>
      <c r="H26" s="137">
        <v>39609</v>
      </c>
      <c r="I26" s="159" t="s">
        <v>247</v>
      </c>
      <c r="J26" s="139"/>
      <c r="K26" s="139"/>
      <c r="L26" s="139"/>
      <c r="M26" s="139"/>
      <c r="N26" s="139"/>
      <c r="O26" s="139"/>
      <c r="P26" s="139"/>
      <c r="Q26" s="140">
        <v>37417</v>
      </c>
      <c r="R26" s="134" t="str">
        <f t="shared" ca="1" si="1"/>
        <v>------</v>
      </c>
      <c r="S26" s="135" t="s">
        <v>34</v>
      </c>
    </row>
    <row r="27" spans="1:19" s="54" customFormat="1" ht="20.100000000000001" customHeight="1" x14ac:dyDescent="0.2">
      <c r="A27" s="141" t="s">
        <v>363</v>
      </c>
      <c r="B27" s="143" t="s">
        <v>485</v>
      </c>
      <c r="C27" s="143" t="s">
        <v>37</v>
      </c>
      <c r="D27" s="144" t="s">
        <v>365</v>
      </c>
      <c r="E27" s="144" t="s">
        <v>366</v>
      </c>
      <c r="F27" s="136">
        <v>21600</v>
      </c>
      <c r="G27" s="129">
        <f t="shared" si="0"/>
        <v>206</v>
      </c>
      <c r="H27" s="137">
        <v>39653</v>
      </c>
      <c r="I27" s="145" t="s">
        <v>486</v>
      </c>
      <c r="J27" s="146"/>
      <c r="K27" s="146"/>
      <c r="L27" s="146"/>
      <c r="M27" s="146"/>
      <c r="N27" s="146"/>
      <c r="O27" s="146"/>
      <c r="P27" s="146"/>
      <c r="Q27" s="147">
        <v>39288</v>
      </c>
      <c r="R27" s="134">
        <f t="shared" ca="1" si="1"/>
        <v>-2902</v>
      </c>
      <c r="S27" s="149" t="s">
        <v>96</v>
      </c>
    </row>
    <row r="28" spans="1:19" s="54" customFormat="1" ht="20.100000000000001" customHeight="1" x14ac:dyDescent="0.2">
      <c r="A28" s="125" t="s">
        <v>87</v>
      </c>
      <c r="B28" s="126" t="s">
        <v>23</v>
      </c>
      <c r="C28" s="126" t="s">
        <v>56</v>
      </c>
      <c r="D28" s="127" t="s">
        <v>88</v>
      </c>
      <c r="E28" s="127" t="s">
        <v>89</v>
      </c>
      <c r="F28" s="136">
        <v>14400</v>
      </c>
      <c r="G28" s="129">
        <f t="shared" si="0"/>
        <v>213</v>
      </c>
      <c r="H28" s="137">
        <v>39660</v>
      </c>
      <c r="I28" s="138" t="s">
        <v>487</v>
      </c>
      <c r="J28" s="139"/>
      <c r="K28" s="139"/>
      <c r="L28" s="139"/>
      <c r="M28" s="139"/>
      <c r="N28" s="139"/>
      <c r="O28" s="139"/>
      <c r="P28" s="139"/>
      <c r="Q28" s="140">
        <v>38989</v>
      </c>
      <c r="R28" s="134" t="str">
        <f t="shared" ca="1" si="1"/>
        <v>------</v>
      </c>
      <c r="S28" s="135" t="s">
        <v>48</v>
      </c>
    </row>
    <row r="29" spans="1:19" s="54" customFormat="1" ht="20.100000000000001" customHeight="1" x14ac:dyDescent="0.2">
      <c r="A29" s="141" t="s">
        <v>91</v>
      </c>
      <c r="B29" s="142" t="s">
        <v>92</v>
      </c>
      <c r="C29" s="143" t="s">
        <v>67</v>
      </c>
      <c r="D29" s="144" t="s">
        <v>93</v>
      </c>
      <c r="E29" s="144" t="s">
        <v>94</v>
      </c>
      <c r="F29" s="136">
        <f>781176.84+17967.07</f>
        <v>799143.90999999992</v>
      </c>
      <c r="G29" s="129">
        <f t="shared" si="0"/>
        <v>223</v>
      </c>
      <c r="H29" s="137">
        <v>39670</v>
      </c>
      <c r="I29" s="145" t="s">
        <v>249</v>
      </c>
      <c r="J29" s="146"/>
      <c r="K29" s="146"/>
      <c r="L29" s="146"/>
      <c r="M29" s="146"/>
      <c r="N29" s="146"/>
      <c r="O29" s="146"/>
      <c r="P29" s="146"/>
      <c r="Q29" s="147">
        <v>37844</v>
      </c>
      <c r="R29" s="134">
        <f t="shared" ca="1" si="1"/>
        <v>-4346</v>
      </c>
      <c r="S29" s="149" t="s">
        <v>96</v>
      </c>
    </row>
    <row r="30" spans="1:19" s="54" customFormat="1" ht="20.100000000000001" customHeight="1" x14ac:dyDescent="0.2">
      <c r="A30" s="141" t="s">
        <v>488</v>
      </c>
      <c r="B30" s="143" t="s">
        <v>489</v>
      </c>
      <c r="C30" s="143" t="s">
        <v>226</v>
      </c>
      <c r="D30" s="144" t="s">
        <v>44</v>
      </c>
      <c r="E30" s="144" t="s">
        <v>252</v>
      </c>
      <c r="F30" s="136">
        <v>127800</v>
      </c>
      <c r="G30" s="129">
        <f t="shared" si="0"/>
        <v>246</v>
      </c>
      <c r="H30" s="137">
        <v>39693</v>
      </c>
      <c r="I30" s="145" t="s">
        <v>490</v>
      </c>
      <c r="J30" s="146"/>
      <c r="K30" s="146"/>
      <c r="L30" s="146"/>
      <c r="M30" s="146"/>
      <c r="N30" s="146"/>
      <c r="O30" s="146"/>
      <c r="P30" s="146"/>
      <c r="Q30" s="147">
        <v>39328</v>
      </c>
      <c r="R30" s="134">
        <f t="shared" ca="1" si="1"/>
        <v>-2862</v>
      </c>
      <c r="S30" s="149" t="s">
        <v>48</v>
      </c>
    </row>
    <row r="31" spans="1:19" s="54" customFormat="1" ht="20.100000000000001" customHeight="1" x14ac:dyDescent="0.2">
      <c r="A31" s="141" t="s">
        <v>97</v>
      </c>
      <c r="B31" s="143" t="s">
        <v>23</v>
      </c>
      <c r="C31" s="143" t="s">
        <v>61</v>
      </c>
      <c r="D31" s="144" t="s">
        <v>98</v>
      </c>
      <c r="E31" s="144" t="s">
        <v>99</v>
      </c>
      <c r="F31" s="136" t="s">
        <v>100</v>
      </c>
      <c r="G31" s="129">
        <f t="shared" si="0"/>
        <v>263</v>
      </c>
      <c r="H31" s="137">
        <v>39710</v>
      </c>
      <c r="I31" s="145" t="s">
        <v>256</v>
      </c>
      <c r="J31" s="146"/>
      <c r="K31" s="146"/>
      <c r="L31" s="146"/>
      <c r="M31" s="146"/>
      <c r="N31" s="146"/>
      <c r="O31" s="146"/>
      <c r="P31" s="146"/>
      <c r="Q31" s="147">
        <v>38249</v>
      </c>
      <c r="R31" s="134" t="str">
        <f t="shared" ca="1" si="1"/>
        <v>------</v>
      </c>
      <c r="S31" s="149" t="s">
        <v>48</v>
      </c>
    </row>
    <row r="32" spans="1:19" s="54" customFormat="1" ht="20.100000000000001" customHeight="1" x14ac:dyDescent="0.2">
      <c r="A32" s="141" t="s">
        <v>102</v>
      </c>
      <c r="B32" s="143" t="s">
        <v>23</v>
      </c>
      <c r="C32" s="143" t="s">
        <v>56</v>
      </c>
      <c r="D32" s="144" t="s">
        <v>103</v>
      </c>
      <c r="E32" s="144" t="s">
        <v>104</v>
      </c>
      <c r="F32" s="136">
        <v>1612.68</v>
      </c>
      <c r="G32" s="129">
        <f t="shared" si="0"/>
        <v>269</v>
      </c>
      <c r="H32" s="137">
        <v>39716</v>
      </c>
      <c r="I32" s="145" t="s">
        <v>258</v>
      </c>
      <c r="J32" s="146"/>
      <c r="K32" s="146"/>
      <c r="L32" s="146"/>
      <c r="M32" s="146"/>
      <c r="N32" s="146"/>
      <c r="O32" s="146"/>
      <c r="P32" s="146"/>
      <c r="Q32" s="147">
        <v>38986</v>
      </c>
      <c r="R32" s="134" t="str">
        <f t="shared" ca="1" si="1"/>
        <v>------</v>
      </c>
      <c r="S32" s="149" t="s">
        <v>96</v>
      </c>
    </row>
    <row r="33" spans="1:19" s="54" customFormat="1" ht="20.100000000000001" customHeight="1" x14ac:dyDescent="0.2">
      <c r="A33" s="141" t="s">
        <v>112</v>
      </c>
      <c r="B33" s="143" t="s">
        <v>23</v>
      </c>
      <c r="C33" s="143" t="s">
        <v>56</v>
      </c>
      <c r="D33" s="144" t="s">
        <v>44</v>
      </c>
      <c r="E33" s="144" t="s">
        <v>113</v>
      </c>
      <c r="F33" s="136">
        <f>1330*12</f>
        <v>15960</v>
      </c>
      <c r="G33" s="129">
        <f t="shared" si="0"/>
        <v>278</v>
      </c>
      <c r="H33" s="137">
        <v>39725</v>
      </c>
      <c r="I33" s="145" t="s">
        <v>265</v>
      </c>
      <c r="J33" s="146"/>
      <c r="K33" s="146"/>
      <c r="L33" s="146"/>
      <c r="M33" s="146"/>
      <c r="N33" s="146"/>
      <c r="O33" s="146"/>
      <c r="P33" s="146"/>
      <c r="Q33" s="147">
        <v>39026</v>
      </c>
      <c r="R33" s="134" t="str">
        <f t="shared" ca="1" si="1"/>
        <v>------</v>
      </c>
      <c r="S33" s="149" t="s">
        <v>48</v>
      </c>
    </row>
    <row r="34" spans="1:19" s="54" customFormat="1" ht="20.100000000000001" customHeight="1" x14ac:dyDescent="0.2">
      <c r="A34" s="141" t="s">
        <v>215</v>
      </c>
      <c r="B34" s="143" t="s">
        <v>23</v>
      </c>
      <c r="C34" s="143" t="s">
        <v>24</v>
      </c>
      <c r="D34" s="144" t="s">
        <v>216</v>
      </c>
      <c r="E34" s="144" t="s">
        <v>217</v>
      </c>
      <c r="F34" s="136" t="s">
        <v>491</v>
      </c>
      <c r="G34" s="129">
        <f t="shared" si="0"/>
        <v>278</v>
      </c>
      <c r="H34" s="137">
        <v>39725</v>
      </c>
      <c r="I34" s="145" t="s">
        <v>219</v>
      </c>
      <c r="J34" s="146"/>
      <c r="K34" s="146"/>
      <c r="L34" s="146"/>
      <c r="M34" s="146"/>
      <c r="N34" s="146"/>
      <c r="O34" s="146"/>
      <c r="P34" s="146"/>
      <c r="Q34" s="147">
        <v>36795</v>
      </c>
      <c r="R34" s="134" t="str">
        <f t="shared" ca="1" si="1"/>
        <v>------</v>
      </c>
      <c r="S34" s="149" t="s">
        <v>169</v>
      </c>
    </row>
    <row r="35" spans="1:19" s="54" customFormat="1" ht="20.100000000000001" customHeight="1" x14ac:dyDescent="0.2">
      <c r="A35" s="141" t="s">
        <v>115</v>
      </c>
      <c r="B35" s="143" t="s">
        <v>23</v>
      </c>
      <c r="C35" s="143" t="s">
        <v>56</v>
      </c>
      <c r="D35" s="144" t="s">
        <v>116</v>
      </c>
      <c r="E35" s="144" t="s">
        <v>117</v>
      </c>
      <c r="F35" s="136">
        <v>5521.6</v>
      </c>
      <c r="G35" s="129">
        <f t="shared" si="0"/>
        <v>298</v>
      </c>
      <c r="H35" s="137">
        <v>39745</v>
      </c>
      <c r="I35" s="145" t="s">
        <v>267</v>
      </c>
      <c r="J35" s="146"/>
      <c r="K35" s="146"/>
      <c r="L35" s="146"/>
      <c r="M35" s="146"/>
      <c r="N35" s="146"/>
      <c r="O35" s="146"/>
      <c r="P35" s="146"/>
      <c r="Q35" s="147">
        <v>39015</v>
      </c>
      <c r="R35" s="134" t="str">
        <f t="shared" ca="1" si="1"/>
        <v>------</v>
      </c>
      <c r="S35" s="149" t="s">
        <v>96</v>
      </c>
    </row>
    <row r="36" spans="1:19" s="54" customFormat="1" ht="20.100000000000001" customHeight="1" x14ac:dyDescent="0.2">
      <c r="A36" s="141" t="s">
        <v>119</v>
      </c>
      <c r="B36" s="143" t="s">
        <v>23</v>
      </c>
      <c r="C36" s="143" t="s">
        <v>61</v>
      </c>
      <c r="D36" s="144" t="s">
        <v>268</v>
      </c>
      <c r="E36" s="144" t="s">
        <v>121</v>
      </c>
      <c r="F36" s="136" t="s">
        <v>270</v>
      </c>
      <c r="G36" s="129">
        <f>H36-$R$7</f>
        <v>39747</v>
      </c>
      <c r="H36" s="137">
        <v>39747</v>
      </c>
      <c r="I36" s="160" t="s">
        <v>492</v>
      </c>
      <c r="J36" s="146"/>
      <c r="K36" s="146"/>
      <c r="L36" s="146"/>
      <c r="M36" s="146"/>
      <c r="N36" s="146"/>
      <c r="O36" s="146"/>
      <c r="P36" s="146"/>
      <c r="Q36" s="147">
        <v>38652</v>
      </c>
      <c r="R36" s="134">
        <f ca="1">DATE(YEAR(Q36)+6,MONTH(Q36),DAY(Q36))-TODAY()</f>
        <v>-3539</v>
      </c>
      <c r="S36" s="149" t="s">
        <v>96</v>
      </c>
    </row>
    <row r="37" spans="1:19" s="54" customFormat="1" ht="20.100000000000001" customHeight="1" x14ac:dyDescent="0.2">
      <c r="A37" s="141" t="s">
        <v>124</v>
      </c>
      <c r="B37" s="143" t="s">
        <v>23</v>
      </c>
      <c r="C37" s="143" t="s">
        <v>56</v>
      </c>
      <c r="D37" s="144" t="s">
        <v>125</v>
      </c>
      <c r="E37" s="144" t="s">
        <v>126</v>
      </c>
      <c r="F37" s="136">
        <v>10080</v>
      </c>
      <c r="G37" s="129">
        <f>H37-$Q$7</f>
        <v>305</v>
      </c>
      <c r="H37" s="137">
        <v>39752</v>
      </c>
      <c r="I37" s="145" t="s">
        <v>277</v>
      </c>
      <c r="J37" s="146"/>
      <c r="K37" s="146"/>
      <c r="L37" s="146"/>
      <c r="M37" s="146"/>
      <c r="N37" s="146"/>
      <c r="O37" s="146"/>
      <c r="P37" s="146"/>
      <c r="Q37" s="147">
        <v>39022</v>
      </c>
      <c r="R37" s="134" t="str">
        <f ca="1">IF(AND(C37&lt;&gt;"DISPENSADA",C37&lt;&gt;"DISPENSÁVEL",C37&lt;&gt;"INEXIGÍVEL"),DATE(YEAR(Q37)+6,MONTH(Q37),DAY(Q37))-TODAY(),"------")</f>
        <v>------</v>
      </c>
      <c r="S37" s="149" t="s">
        <v>48</v>
      </c>
    </row>
    <row r="38" spans="1:19" s="54" customFormat="1" ht="20.100000000000001" customHeight="1" x14ac:dyDescent="0.2">
      <c r="A38" s="125" t="s">
        <v>128</v>
      </c>
      <c r="B38" s="157" t="s">
        <v>129</v>
      </c>
      <c r="C38" s="126" t="s">
        <v>130</v>
      </c>
      <c r="D38" s="127" t="s">
        <v>272</v>
      </c>
      <c r="E38" s="127" t="s">
        <v>132</v>
      </c>
      <c r="F38" s="136" t="s">
        <v>133</v>
      </c>
      <c r="G38" s="129">
        <f>H38-$R$7</f>
        <v>39752</v>
      </c>
      <c r="H38" s="137">
        <v>39752</v>
      </c>
      <c r="I38" s="161" t="s">
        <v>274</v>
      </c>
      <c r="J38" s="139"/>
      <c r="K38" s="139"/>
      <c r="L38" s="139"/>
      <c r="M38" s="139"/>
      <c r="N38" s="139"/>
      <c r="O38" s="139"/>
      <c r="P38" s="139"/>
      <c r="Q38" s="140">
        <v>37560</v>
      </c>
      <c r="R38" s="134">
        <f ca="1">DATE(YEAR(Q38)+6,MONTH(Q38),DAY(Q38))-TODAY()</f>
        <v>-4630</v>
      </c>
      <c r="S38" s="135" t="s">
        <v>275</v>
      </c>
    </row>
    <row r="39" spans="1:19" s="54" customFormat="1" ht="20.100000000000001" customHeight="1" x14ac:dyDescent="0.2">
      <c r="A39" s="141" t="s">
        <v>124</v>
      </c>
      <c r="B39" s="143" t="s">
        <v>23</v>
      </c>
      <c r="C39" s="143" t="s">
        <v>56</v>
      </c>
      <c r="D39" s="144" t="s">
        <v>125</v>
      </c>
      <c r="E39" s="144" t="s">
        <v>126</v>
      </c>
      <c r="F39" s="136">
        <v>10080</v>
      </c>
      <c r="G39" s="129">
        <f>H39-$R$7</f>
        <v>39752</v>
      </c>
      <c r="H39" s="137">
        <v>39752</v>
      </c>
      <c r="I39" s="160" t="s">
        <v>277</v>
      </c>
      <c r="J39" s="146"/>
      <c r="K39" s="146"/>
      <c r="L39" s="146"/>
      <c r="M39" s="146"/>
      <c r="N39" s="146"/>
      <c r="O39" s="146"/>
      <c r="P39" s="146"/>
      <c r="Q39" s="147">
        <v>39022</v>
      </c>
      <c r="R39" s="148">
        <f ca="1">DATE(YEAR(Q39)+6,MONTH(Q39),DAY(Q39))-TODAY()</f>
        <v>-3168</v>
      </c>
      <c r="S39" s="149" t="s">
        <v>48</v>
      </c>
    </row>
    <row r="40" spans="1:19" s="54" customFormat="1" ht="20.100000000000001" customHeight="1" x14ac:dyDescent="0.2">
      <c r="A40" s="141" t="s">
        <v>137</v>
      </c>
      <c r="B40" s="143" t="s">
        <v>23</v>
      </c>
      <c r="C40" s="143" t="s">
        <v>56</v>
      </c>
      <c r="D40" s="144" t="s">
        <v>138</v>
      </c>
      <c r="E40" s="144" t="s">
        <v>139</v>
      </c>
      <c r="F40" s="136" t="s">
        <v>282</v>
      </c>
      <c r="G40" s="129">
        <f t="shared" ref="G40:G51" si="2">H40-$Q$7</f>
        <v>320</v>
      </c>
      <c r="H40" s="137">
        <v>39767</v>
      </c>
      <c r="I40" s="145" t="s">
        <v>283</v>
      </c>
      <c r="J40" s="146"/>
      <c r="K40" s="146"/>
      <c r="L40" s="146"/>
      <c r="M40" s="146"/>
      <c r="N40" s="146"/>
      <c r="O40" s="146"/>
      <c r="P40" s="146"/>
      <c r="Q40" s="147">
        <v>39037</v>
      </c>
      <c r="R40" s="148" t="str">
        <f t="shared" ref="R40:R50" ca="1" si="3">IF(AND(C40&lt;&gt;"DISPENSADA",C40&lt;&gt;"DISPENSÁVEL",C40&lt;&gt;"INEXIGÍVEL"),DATE(YEAR(Q40)+6,MONTH(Q40),DAY(Q40))-TODAY(),"------")</f>
        <v>------</v>
      </c>
      <c r="S40" s="149" t="s">
        <v>48</v>
      </c>
    </row>
    <row r="41" spans="1:19" s="54" customFormat="1" ht="20.100000000000001" customHeight="1" x14ac:dyDescent="0.2">
      <c r="A41" s="125" t="s">
        <v>142</v>
      </c>
      <c r="B41" s="126" t="s">
        <v>23</v>
      </c>
      <c r="C41" s="126" t="s">
        <v>61</v>
      </c>
      <c r="D41" s="127" t="s">
        <v>143</v>
      </c>
      <c r="E41" s="127" t="s">
        <v>144</v>
      </c>
      <c r="F41" s="136">
        <v>3519.96</v>
      </c>
      <c r="G41" s="129">
        <f t="shared" si="2"/>
        <v>336</v>
      </c>
      <c r="H41" s="137">
        <v>39783</v>
      </c>
      <c r="I41" s="138" t="s">
        <v>285</v>
      </c>
      <c r="J41" s="139"/>
      <c r="K41" s="139"/>
      <c r="L41" s="139"/>
      <c r="M41" s="139"/>
      <c r="N41" s="139"/>
      <c r="O41" s="139"/>
      <c r="P41" s="139"/>
      <c r="Q41" s="140">
        <v>37956</v>
      </c>
      <c r="R41" s="134" t="str">
        <f t="shared" ca="1" si="3"/>
        <v>------</v>
      </c>
      <c r="S41" s="135" t="s">
        <v>41</v>
      </c>
    </row>
    <row r="42" spans="1:19" s="54" customFormat="1" ht="20.100000000000001" customHeight="1" x14ac:dyDescent="0.2">
      <c r="A42" s="125" t="s">
        <v>294</v>
      </c>
      <c r="B42" s="126" t="s">
        <v>56</v>
      </c>
      <c r="C42" s="126" t="s">
        <v>23</v>
      </c>
      <c r="D42" s="127" t="s">
        <v>295</v>
      </c>
      <c r="E42" s="127" t="s">
        <v>296</v>
      </c>
      <c r="F42" s="136">
        <v>6600</v>
      </c>
      <c r="G42" s="129">
        <f t="shared" si="2"/>
        <v>353</v>
      </c>
      <c r="H42" s="137">
        <v>39800</v>
      </c>
      <c r="I42" s="138" t="s">
        <v>298</v>
      </c>
      <c r="J42" s="139"/>
      <c r="K42" s="139"/>
      <c r="L42" s="139"/>
      <c r="M42" s="139"/>
      <c r="N42" s="139"/>
      <c r="O42" s="139"/>
      <c r="P42" s="139"/>
      <c r="Q42" s="140">
        <v>39435</v>
      </c>
      <c r="R42" s="134">
        <f t="shared" ca="1" si="3"/>
        <v>-2755</v>
      </c>
      <c r="S42" s="135" t="s">
        <v>48</v>
      </c>
    </row>
    <row r="43" spans="1:19" s="54" customFormat="1" ht="20.100000000000001" customHeight="1" x14ac:dyDescent="0.2">
      <c r="A43" s="141" t="s">
        <v>299</v>
      </c>
      <c r="B43" s="143" t="s">
        <v>61</v>
      </c>
      <c r="C43" s="143" t="s">
        <v>23</v>
      </c>
      <c r="D43" s="144" t="s">
        <v>212</v>
      </c>
      <c r="E43" s="144" t="s">
        <v>300</v>
      </c>
      <c r="F43" s="136">
        <v>11880</v>
      </c>
      <c r="G43" s="129">
        <f t="shared" si="2"/>
        <v>362</v>
      </c>
      <c r="H43" s="137">
        <v>39809</v>
      </c>
      <c r="I43" s="145" t="s">
        <v>302</v>
      </c>
      <c r="J43" s="146"/>
      <c r="K43" s="146"/>
      <c r="L43" s="146"/>
      <c r="M43" s="146"/>
      <c r="N43" s="146"/>
      <c r="O43" s="146"/>
      <c r="P43" s="146"/>
      <c r="Q43" s="147">
        <v>39444</v>
      </c>
      <c r="R43" s="148">
        <f t="shared" ca="1" si="3"/>
        <v>-2746</v>
      </c>
      <c r="S43" s="149" t="s">
        <v>48</v>
      </c>
    </row>
    <row r="44" spans="1:19" s="54" customFormat="1" ht="20.100000000000001" customHeight="1" x14ac:dyDescent="0.2">
      <c r="A44" s="125" t="s">
        <v>170</v>
      </c>
      <c r="B44" s="126" t="s">
        <v>23</v>
      </c>
      <c r="C44" s="126" t="s">
        <v>61</v>
      </c>
      <c r="D44" s="127" t="s">
        <v>171</v>
      </c>
      <c r="E44" s="127" t="s">
        <v>172</v>
      </c>
      <c r="F44" s="136" t="s">
        <v>307</v>
      </c>
      <c r="G44" s="129">
        <f t="shared" si="2"/>
        <v>365</v>
      </c>
      <c r="H44" s="137">
        <v>39812</v>
      </c>
      <c r="I44" s="138" t="s">
        <v>308</v>
      </c>
      <c r="J44" s="139"/>
      <c r="K44" s="139"/>
      <c r="L44" s="139"/>
      <c r="M44" s="139"/>
      <c r="N44" s="139"/>
      <c r="O44" s="139"/>
      <c r="P44" s="139"/>
      <c r="Q44" s="140">
        <v>37985</v>
      </c>
      <c r="R44" s="134" t="str">
        <f t="shared" ca="1" si="3"/>
        <v>------</v>
      </c>
      <c r="S44" s="135" t="s">
        <v>54</v>
      </c>
    </row>
    <row r="45" spans="1:19" s="54" customFormat="1" ht="20.100000000000001" customHeight="1" x14ac:dyDescent="0.2">
      <c r="A45" s="162" t="s">
        <v>309</v>
      </c>
      <c r="B45" s="163" t="s">
        <v>23</v>
      </c>
      <c r="C45" s="143" t="s">
        <v>61</v>
      </c>
      <c r="D45" s="144" t="s">
        <v>176</v>
      </c>
      <c r="E45" s="144" t="s">
        <v>177</v>
      </c>
      <c r="F45" s="136">
        <v>15900</v>
      </c>
      <c r="G45" s="129">
        <f t="shared" si="2"/>
        <v>366</v>
      </c>
      <c r="H45" s="164">
        <v>39813</v>
      </c>
      <c r="I45" s="145" t="s">
        <v>493</v>
      </c>
      <c r="J45" s="146"/>
      <c r="K45" s="146"/>
      <c r="L45" s="146"/>
      <c r="M45" s="146"/>
      <c r="N45" s="146"/>
      <c r="O45" s="146"/>
      <c r="P45" s="146"/>
      <c r="Q45" s="147">
        <v>38749</v>
      </c>
      <c r="R45" s="134" t="str">
        <f t="shared" ca="1" si="3"/>
        <v>------</v>
      </c>
      <c r="S45" s="149" t="s">
        <v>179</v>
      </c>
    </row>
    <row r="46" spans="1:19" s="54" customFormat="1" ht="20.100000000000001" customHeight="1" x14ac:dyDescent="0.2">
      <c r="A46" s="125" t="s">
        <v>220</v>
      </c>
      <c r="B46" s="126" t="s">
        <v>23</v>
      </c>
      <c r="C46" s="126" t="s">
        <v>61</v>
      </c>
      <c r="D46" s="127" t="s">
        <v>221</v>
      </c>
      <c r="E46" s="127" t="s">
        <v>222</v>
      </c>
      <c r="F46" s="136">
        <f>6300*12</f>
        <v>75600</v>
      </c>
      <c r="G46" s="129">
        <f t="shared" si="2"/>
        <v>378</v>
      </c>
      <c r="H46" s="137">
        <v>39825</v>
      </c>
      <c r="I46" s="138" t="s">
        <v>223</v>
      </c>
      <c r="J46" s="139"/>
      <c r="K46" s="139"/>
      <c r="L46" s="139"/>
      <c r="M46" s="139"/>
      <c r="N46" s="139"/>
      <c r="O46" s="139"/>
      <c r="P46" s="139"/>
      <c r="Q46" s="140">
        <v>36903</v>
      </c>
      <c r="R46" s="134" t="str">
        <f t="shared" ca="1" si="3"/>
        <v>------</v>
      </c>
      <c r="S46" s="135" t="s">
        <v>48</v>
      </c>
    </row>
    <row r="47" spans="1:19" s="54" customFormat="1" ht="20.100000000000001" customHeight="1" x14ac:dyDescent="0.2">
      <c r="A47" s="125" t="s">
        <v>184</v>
      </c>
      <c r="B47" s="157" t="s">
        <v>185</v>
      </c>
      <c r="C47" s="126" t="s">
        <v>37</v>
      </c>
      <c r="D47" s="127" t="s">
        <v>186</v>
      </c>
      <c r="E47" s="127" t="s">
        <v>187</v>
      </c>
      <c r="F47" s="136">
        <v>74096.160000000003</v>
      </c>
      <c r="G47" s="129">
        <f t="shared" si="2"/>
        <v>381</v>
      </c>
      <c r="H47" s="137">
        <v>39828</v>
      </c>
      <c r="I47" s="138" t="s">
        <v>494</v>
      </c>
      <c r="J47" s="139"/>
      <c r="K47" s="139"/>
      <c r="L47" s="139"/>
      <c r="M47" s="139"/>
      <c r="N47" s="139"/>
      <c r="O47" s="139"/>
      <c r="P47" s="139"/>
      <c r="Q47" s="140">
        <v>38732</v>
      </c>
      <c r="R47" s="134">
        <f t="shared" ca="1" si="3"/>
        <v>-3459</v>
      </c>
      <c r="S47" s="135" t="s">
        <v>169</v>
      </c>
    </row>
    <row r="48" spans="1:19" s="54" customFormat="1" ht="20.100000000000001" customHeight="1" x14ac:dyDescent="0.2">
      <c r="A48" s="141" t="s">
        <v>224</v>
      </c>
      <c r="B48" s="143" t="s">
        <v>225</v>
      </c>
      <c r="C48" s="143" t="s">
        <v>226</v>
      </c>
      <c r="D48" s="144" t="s">
        <v>227</v>
      </c>
      <c r="E48" s="144" t="s">
        <v>228</v>
      </c>
      <c r="F48" s="136">
        <v>32400</v>
      </c>
      <c r="G48" s="129">
        <f t="shared" si="2"/>
        <v>395</v>
      </c>
      <c r="H48" s="137">
        <v>39842</v>
      </c>
      <c r="I48" s="145" t="s">
        <v>229</v>
      </c>
      <c r="J48" s="146"/>
      <c r="K48" s="146"/>
      <c r="L48" s="146"/>
      <c r="M48" s="146"/>
      <c r="N48" s="146"/>
      <c r="O48" s="146"/>
      <c r="P48" s="146"/>
      <c r="Q48" s="147">
        <v>38747</v>
      </c>
      <c r="R48" s="148">
        <f t="shared" ca="1" si="3"/>
        <v>-3444</v>
      </c>
      <c r="S48" s="149" t="s">
        <v>41</v>
      </c>
    </row>
    <row r="49" spans="1:24" s="54" customFormat="1" ht="20.100000000000001" customHeight="1" x14ac:dyDescent="0.2">
      <c r="A49" s="141" t="s">
        <v>318</v>
      </c>
      <c r="B49" s="143" t="s">
        <v>56</v>
      </c>
      <c r="C49" s="143" t="s">
        <v>23</v>
      </c>
      <c r="D49" s="144" t="s">
        <v>83</v>
      </c>
      <c r="E49" s="144" t="s">
        <v>319</v>
      </c>
      <c r="F49" s="136" t="s">
        <v>321</v>
      </c>
      <c r="G49" s="129">
        <f t="shared" si="2"/>
        <v>398</v>
      </c>
      <c r="H49" s="137">
        <v>39845</v>
      </c>
      <c r="I49" s="145" t="s">
        <v>322</v>
      </c>
      <c r="J49" s="146"/>
      <c r="K49" s="146"/>
      <c r="L49" s="146"/>
      <c r="M49" s="146"/>
      <c r="N49" s="146"/>
      <c r="O49" s="146"/>
      <c r="P49" s="146"/>
      <c r="Q49" s="147">
        <v>39480</v>
      </c>
      <c r="R49" s="148">
        <f t="shared" ca="1" si="3"/>
        <v>-2710</v>
      </c>
      <c r="S49" s="149" t="s">
        <v>48</v>
      </c>
    </row>
    <row r="50" spans="1:24" s="54" customFormat="1" ht="20.100000000000001" customHeight="1" x14ac:dyDescent="0.2">
      <c r="A50" s="141" t="s">
        <v>325</v>
      </c>
      <c r="B50" s="143" t="s">
        <v>61</v>
      </c>
      <c r="C50" s="143" t="s">
        <v>23</v>
      </c>
      <c r="D50" s="144" t="s">
        <v>180</v>
      </c>
      <c r="E50" s="144" t="s">
        <v>326</v>
      </c>
      <c r="F50" s="136" t="s">
        <v>328</v>
      </c>
      <c r="G50" s="129">
        <f t="shared" si="2"/>
        <v>402</v>
      </c>
      <c r="H50" s="137">
        <v>39849</v>
      </c>
      <c r="I50" s="145" t="s">
        <v>329</v>
      </c>
      <c r="J50" s="146"/>
      <c r="K50" s="146"/>
      <c r="L50" s="146"/>
      <c r="M50" s="146"/>
      <c r="N50" s="146"/>
      <c r="O50" s="146"/>
      <c r="P50" s="146"/>
      <c r="Q50" s="147">
        <v>39484</v>
      </c>
      <c r="R50" s="148">
        <f t="shared" ca="1" si="3"/>
        <v>-2706</v>
      </c>
      <c r="S50" s="149" t="s">
        <v>48</v>
      </c>
    </row>
    <row r="51" spans="1:24" s="54" customFormat="1" ht="20.100000000000001" customHeight="1" x14ac:dyDescent="0.2">
      <c r="A51" s="141" t="s">
        <v>383</v>
      </c>
      <c r="B51" s="143" t="s">
        <v>23</v>
      </c>
      <c r="C51" s="143" t="s">
        <v>372</v>
      </c>
      <c r="D51" s="144" t="s">
        <v>384</v>
      </c>
      <c r="E51" s="144" t="s">
        <v>385</v>
      </c>
      <c r="F51" s="136" t="s">
        <v>375</v>
      </c>
      <c r="G51" s="129">
        <f t="shared" si="2"/>
        <v>1588</v>
      </c>
      <c r="H51" s="137">
        <v>41035</v>
      </c>
      <c r="I51" s="145" t="s">
        <v>387</v>
      </c>
      <c r="J51" s="146"/>
      <c r="K51" s="146"/>
      <c r="L51" s="146"/>
      <c r="M51" s="146"/>
      <c r="N51" s="146"/>
      <c r="O51" s="146"/>
      <c r="P51" s="146"/>
      <c r="Q51" s="147">
        <v>39209</v>
      </c>
      <c r="R51" s="148" t="str">
        <f ca="1">IF(AND(C51&lt;&gt;"DISPENSADA",C51&lt;&gt;"DISPENSÁVEL",C51&lt;&gt;"INEXIGÍVEL",C51&lt;&gt;"CONVÊNIO"),DATE(YEAR(Q51)+6,MONTH(Q51),DAY(Q51))-TODAY(),"------")</f>
        <v>------</v>
      </c>
      <c r="S51" s="149" t="s">
        <v>96</v>
      </c>
    </row>
    <row r="52" spans="1:24" s="54" customFormat="1" ht="20.100000000000001" customHeight="1" x14ac:dyDescent="0.2">
      <c r="A52" s="165" t="s">
        <v>230</v>
      </c>
      <c r="B52" s="166" t="s">
        <v>23</v>
      </c>
      <c r="C52" s="166" t="s">
        <v>61</v>
      </c>
      <c r="D52" s="167" t="s">
        <v>231</v>
      </c>
      <c r="E52" s="167" t="s">
        <v>232</v>
      </c>
      <c r="F52" s="168">
        <v>21785.16</v>
      </c>
      <c r="G52" s="169" t="s">
        <v>23</v>
      </c>
      <c r="H52" s="170" t="s">
        <v>233</v>
      </c>
      <c r="I52" s="171" t="s">
        <v>234</v>
      </c>
      <c r="J52" s="172"/>
      <c r="K52" s="172"/>
      <c r="L52" s="172"/>
      <c r="M52" s="172"/>
      <c r="N52" s="172"/>
      <c r="O52" s="172"/>
      <c r="P52" s="172"/>
      <c r="Q52" s="173">
        <v>37043</v>
      </c>
      <c r="R52" s="174" t="str">
        <f ca="1">IF(AND(C52&lt;&gt;"DISPENSADA",C52&lt;&gt;"DISPENSÁVEL",C52&lt;&gt;"INEXIGÍVEL"),DATE(YEAR(Q52)+6,MONTH(Q52),DAY(Q52))-TODAY(),"------")</f>
        <v>------</v>
      </c>
      <c r="S52" s="175" t="s">
        <v>54</v>
      </c>
    </row>
    <row r="53" spans="1:24" s="54" customFormat="1" ht="11.85" customHeight="1" x14ac:dyDescent="0.2">
      <c r="A53" s="53"/>
      <c r="B53" s="53"/>
      <c r="C53" s="53"/>
      <c r="E53" s="53"/>
      <c r="F53" s="176"/>
      <c r="G53" s="176"/>
      <c r="H53" s="53"/>
      <c r="I53" s="177"/>
    </row>
    <row r="54" spans="1:24" s="54" customFormat="1" ht="12.6" customHeight="1" x14ac:dyDescent="0.2">
      <c r="A54" s="53"/>
      <c r="B54" s="53"/>
      <c r="C54" s="53"/>
      <c r="D54" s="53" t="s">
        <v>235</v>
      </c>
      <c r="E54" s="53"/>
      <c r="F54" s="176"/>
      <c r="G54" s="178"/>
      <c r="H54" s="53"/>
      <c r="I54" s="177"/>
      <c r="Q54" s="945"/>
      <c r="R54" s="945"/>
      <c r="S54" s="945"/>
      <c r="T54" s="945"/>
      <c r="U54" s="945"/>
      <c r="V54" s="945"/>
      <c r="W54" s="945"/>
      <c r="X54" s="945"/>
    </row>
    <row r="55" spans="1:24" s="54" customFormat="1" ht="11.85" customHeight="1" x14ac:dyDescent="0.2">
      <c r="A55" s="53"/>
      <c r="B55" s="53"/>
      <c r="C55" s="53"/>
      <c r="D55" s="53" t="s">
        <v>236</v>
      </c>
      <c r="E55" s="53"/>
      <c r="F55" s="176"/>
      <c r="G55" s="176"/>
      <c r="H55" s="53"/>
      <c r="I55" s="177"/>
    </row>
    <row r="56" spans="1:24" s="54" customFormat="1" ht="11.85" customHeight="1" x14ac:dyDescent="0.2">
      <c r="A56" s="53"/>
      <c r="B56" s="53"/>
      <c r="C56" s="53"/>
      <c r="D56" s="53" t="s">
        <v>237</v>
      </c>
      <c r="E56" s="53"/>
      <c r="F56" s="176"/>
      <c r="G56" s="176"/>
      <c r="H56" s="53"/>
      <c r="I56" s="177"/>
    </row>
    <row r="57" spans="1:24" s="54" customFormat="1" ht="11.85" customHeight="1" x14ac:dyDescent="0.2">
      <c r="D57" s="53" t="s">
        <v>238</v>
      </c>
      <c r="F57" s="176"/>
      <c r="G57" s="176"/>
      <c r="I57" s="177"/>
    </row>
    <row r="58" spans="1:24" s="54" customFormat="1" ht="11.85" customHeight="1" x14ac:dyDescent="0.2">
      <c r="D58" s="54" t="s">
        <v>239</v>
      </c>
      <c r="F58" s="176"/>
      <c r="G58" s="176"/>
      <c r="I58" s="177"/>
    </row>
    <row r="59" spans="1:24" s="54" customFormat="1" ht="14.1" customHeight="1" x14ac:dyDescent="0.2">
      <c r="D59" s="54" t="s">
        <v>388</v>
      </c>
      <c r="F59" s="176"/>
      <c r="G59" s="176"/>
      <c r="I59" s="177"/>
    </row>
  </sheetData>
  <mergeCells count="15">
    <mergeCell ref="E9:E10"/>
    <mergeCell ref="F9:F10"/>
    <mergeCell ref="H9:H10"/>
    <mergeCell ref="I9:I10"/>
    <mergeCell ref="J9:J10"/>
    <mergeCell ref="G9:G10"/>
    <mergeCell ref="P9:P10"/>
    <mergeCell ref="S9:S10"/>
    <mergeCell ref="Q54:X54"/>
    <mergeCell ref="K9:O9"/>
    <mergeCell ref="A8:S8"/>
    <mergeCell ref="A9:A10"/>
    <mergeCell ref="B9:B10"/>
    <mergeCell ref="C9:C10"/>
    <mergeCell ref="D9:D10"/>
  </mergeCells>
  <phoneticPr fontId="2" type="noConversion"/>
  <printOptions horizontalCentered="1"/>
  <pageMargins left="0.19685039370078741" right="0.19685039370078741" top="0.19685039370078741" bottom="0.19685039370078741" header="0.51181102362204722" footer="0.51181102362204722"/>
  <pageSetup paperSize="9" scale="65" firstPageNumber="0"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61"/>
  <sheetViews>
    <sheetView zoomScaleNormal="100" workbookViewId="0">
      <pane ySplit="10" topLeftCell="A52" activePane="bottomLeft" state="frozen"/>
      <selection activeCell="E1" sqref="E1"/>
      <selection pane="bottomLeft" activeCell="D69" sqref="D69"/>
    </sheetView>
  </sheetViews>
  <sheetFormatPr defaultRowHeight="14.1" customHeight="1" x14ac:dyDescent="0.2"/>
  <cols>
    <col min="1" max="1" width="9.7109375" style="1" bestFit="1" customWidth="1"/>
    <col min="2" max="2" width="11.28515625" style="1" hidden="1" customWidth="1"/>
    <col min="3" max="3" width="14.140625" style="1" hidden="1" customWidth="1"/>
    <col min="4" max="4" width="52.28515625" style="1" bestFit="1" customWidth="1"/>
    <col min="5" max="5" width="67.42578125" style="1" bestFit="1" customWidth="1"/>
    <col min="6" max="6" width="9.140625" style="6" hidden="1" customWidth="1"/>
    <col min="7" max="7" width="14.7109375" style="2" hidden="1" customWidth="1"/>
    <col min="8" max="8" width="9" style="2" hidden="1" customWidth="1"/>
    <col min="9" max="9" width="10.28515625" style="55" customWidth="1"/>
    <col min="10" max="10" width="31.85546875" style="2" customWidth="1"/>
    <col min="11" max="17" width="9.140625" style="1" hidden="1" customWidth="1"/>
    <col min="18" max="18" width="17.5703125" style="1" customWidth="1"/>
    <col min="19" max="19" width="12" style="1" hidden="1" customWidth="1"/>
    <col min="20" max="20" width="4.7109375" style="1" hidden="1" customWidth="1"/>
    <col min="21" max="16384" width="9.140625" style="1"/>
  </cols>
  <sheetData>
    <row r="1" spans="1:20" ht="11.1" customHeight="1" x14ac:dyDescent="0.2"/>
    <row r="2" spans="1:20" ht="11.1" customHeight="1" x14ac:dyDescent="0.2"/>
    <row r="3" spans="1:20" ht="11.1" customHeight="1" x14ac:dyDescent="0.2"/>
    <row r="4" spans="1:20" ht="11.1" customHeight="1" x14ac:dyDescent="0.2"/>
    <row r="5" spans="1:20" ht="11.1" customHeight="1" x14ac:dyDescent="0.2"/>
    <row r="6" spans="1:20" ht="15.6" customHeight="1" x14ac:dyDescent="0.2">
      <c r="J6" s="932" t="s">
        <v>0</v>
      </c>
      <c r="K6" s="932"/>
      <c r="L6" s="932"/>
      <c r="M6" s="932"/>
      <c r="N6" s="932"/>
      <c r="O6" s="932"/>
      <c r="P6" s="932"/>
      <c r="Q6" s="932"/>
      <c r="R6" s="932"/>
      <c r="S6" s="932"/>
      <c r="T6" s="932"/>
    </row>
    <row r="7" spans="1:20" ht="12" customHeight="1" x14ac:dyDescent="0.2">
      <c r="J7" s="949">
        <v>39813</v>
      </c>
      <c r="K7" s="949"/>
      <c r="L7" s="949"/>
      <c r="M7" s="949"/>
      <c r="N7" s="949"/>
      <c r="O7" s="949"/>
      <c r="P7" s="949"/>
      <c r="Q7" s="949"/>
      <c r="R7" s="949"/>
      <c r="S7" s="949"/>
      <c r="T7" s="949"/>
    </row>
    <row r="8" spans="1:20" ht="22.5" customHeight="1" x14ac:dyDescent="0.35">
      <c r="A8" s="950" t="s">
        <v>569</v>
      </c>
      <c r="B8" s="950"/>
      <c r="C8" s="950"/>
      <c r="D8" s="950"/>
      <c r="E8" s="950"/>
      <c r="F8" s="950"/>
      <c r="G8" s="950"/>
      <c r="H8" s="950"/>
      <c r="I8" s="950"/>
      <c r="J8" s="950"/>
      <c r="K8" s="950"/>
      <c r="L8" s="950"/>
      <c r="M8" s="950"/>
      <c r="N8" s="950"/>
      <c r="O8" s="950"/>
      <c r="P8" s="950"/>
      <c r="Q8" s="950"/>
      <c r="R8" s="950"/>
      <c r="S8" s="950"/>
      <c r="T8" s="950"/>
    </row>
    <row r="9" spans="1:20" s="6" customFormat="1" ht="13.9" customHeight="1" x14ac:dyDescent="0.2">
      <c r="A9" s="930" t="s">
        <v>2</v>
      </c>
      <c r="B9" s="928" t="s">
        <v>3</v>
      </c>
      <c r="C9" s="928" t="s">
        <v>4</v>
      </c>
      <c r="D9" s="928" t="s">
        <v>570</v>
      </c>
      <c r="E9" s="928" t="s">
        <v>6</v>
      </c>
      <c r="F9" s="928" t="s">
        <v>240</v>
      </c>
      <c r="G9" s="928" t="s">
        <v>7</v>
      </c>
      <c r="H9" s="933" t="s">
        <v>241</v>
      </c>
      <c r="I9" s="934" t="s">
        <v>8</v>
      </c>
      <c r="J9" s="928" t="s">
        <v>9</v>
      </c>
      <c r="K9" s="928" t="s">
        <v>10</v>
      </c>
      <c r="L9" s="931" t="s">
        <v>11</v>
      </c>
      <c r="M9" s="931"/>
      <c r="N9" s="931"/>
      <c r="O9" s="931"/>
      <c r="P9" s="931"/>
      <c r="Q9" s="928" t="s">
        <v>12</v>
      </c>
      <c r="R9" s="57" t="s">
        <v>242</v>
      </c>
      <c r="S9" s="5" t="s">
        <v>14</v>
      </c>
      <c r="T9" s="926" t="s">
        <v>15</v>
      </c>
    </row>
    <row r="10" spans="1:20" s="6" customFormat="1" ht="13.9" customHeight="1" x14ac:dyDescent="0.2">
      <c r="A10" s="930"/>
      <c r="B10" s="928"/>
      <c r="C10" s="928"/>
      <c r="D10" s="928"/>
      <c r="E10" s="928"/>
      <c r="F10" s="928"/>
      <c r="G10" s="928"/>
      <c r="H10" s="933"/>
      <c r="I10" s="934"/>
      <c r="J10" s="928"/>
      <c r="K10" s="928"/>
      <c r="L10" s="7" t="s">
        <v>16</v>
      </c>
      <c r="M10" s="7" t="s">
        <v>17</v>
      </c>
      <c r="N10" s="7" t="s">
        <v>18</v>
      </c>
      <c r="O10" s="7" t="s">
        <v>19</v>
      </c>
      <c r="P10" s="7" t="s">
        <v>20</v>
      </c>
      <c r="Q10" s="928"/>
      <c r="R10" s="58" t="s">
        <v>243</v>
      </c>
      <c r="S10" s="8" t="s">
        <v>244</v>
      </c>
      <c r="T10" s="926"/>
    </row>
    <row r="11" spans="1:20" ht="15.95" hidden="1" customHeight="1" x14ac:dyDescent="0.2">
      <c r="A11" s="21" t="s">
        <v>72</v>
      </c>
      <c r="B11" s="10" t="s">
        <v>23</v>
      </c>
      <c r="C11" s="10" t="s">
        <v>61</v>
      </c>
      <c r="D11" s="11" t="s">
        <v>73</v>
      </c>
      <c r="E11" s="11" t="s">
        <v>74</v>
      </c>
      <c r="F11" s="10" t="s">
        <v>246</v>
      </c>
      <c r="G11" s="12" t="s">
        <v>75</v>
      </c>
      <c r="H11" s="63">
        <f t="shared" ref="H11:H39" si="0">I11-$K$7</f>
        <v>39609</v>
      </c>
      <c r="I11" s="76">
        <v>39609</v>
      </c>
      <c r="J11" s="27" t="s">
        <v>247</v>
      </c>
      <c r="K11" s="15"/>
      <c r="L11" s="15"/>
      <c r="M11" s="15"/>
      <c r="N11" s="15"/>
      <c r="O11" s="15"/>
      <c r="P11" s="15"/>
      <c r="Q11" s="15"/>
      <c r="R11" s="16">
        <v>37417</v>
      </c>
      <c r="S11" s="17">
        <f t="shared" ref="S11:S54" ca="1" si="1">DATE(YEAR(R11)+6,MONTH(R11),DAY(I11))-TODAY()</f>
        <v>-4773</v>
      </c>
      <c r="T11" s="18" t="s">
        <v>34</v>
      </c>
    </row>
    <row r="12" spans="1:20" ht="15.95" hidden="1" customHeight="1" x14ac:dyDescent="0.2">
      <c r="A12" s="9" t="s">
        <v>119</v>
      </c>
      <c r="B12" s="10" t="s">
        <v>23</v>
      </c>
      <c r="C12" s="10" t="s">
        <v>61</v>
      </c>
      <c r="D12" s="11" t="s">
        <v>268</v>
      </c>
      <c r="E12" s="11" t="s">
        <v>121</v>
      </c>
      <c r="F12" s="10" t="s">
        <v>269</v>
      </c>
      <c r="G12" s="12" t="s">
        <v>270</v>
      </c>
      <c r="H12" s="63">
        <f t="shared" si="0"/>
        <v>39747</v>
      </c>
      <c r="I12" s="76">
        <v>39747</v>
      </c>
      <c r="J12" s="14" t="s">
        <v>271</v>
      </c>
      <c r="K12" s="15"/>
      <c r="L12" s="15"/>
      <c r="M12" s="15"/>
      <c r="N12" s="15"/>
      <c r="O12" s="15"/>
      <c r="P12" s="15"/>
      <c r="Q12" s="15"/>
      <c r="R12" s="16">
        <v>38652</v>
      </c>
      <c r="S12" s="17">
        <f t="shared" ca="1" si="1"/>
        <v>-3540</v>
      </c>
      <c r="T12" s="18" t="s">
        <v>96</v>
      </c>
    </row>
    <row r="13" spans="1:20" ht="15.95" customHeight="1" x14ac:dyDescent="0.2">
      <c r="A13" s="9" t="s">
        <v>309</v>
      </c>
      <c r="B13" s="22" t="s">
        <v>23</v>
      </c>
      <c r="C13" s="10" t="s">
        <v>61</v>
      </c>
      <c r="D13" s="11" t="s">
        <v>176</v>
      </c>
      <c r="E13" s="11" t="s">
        <v>310</v>
      </c>
      <c r="F13" s="10" t="s">
        <v>311</v>
      </c>
      <c r="G13" s="184" t="s">
        <v>537</v>
      </c>
      <c r="H13" s="63">
        <f t="shared" si="0"/>
        <v>39813</v>
      </c>
      <c r="I13" s="13">
        <v>39813</v>
      </c>
      <c r="J13" s="14" t="s">
        <v>312</v>
      </c>
      <c r="K13" s="15"/>
      <c r="L13" s="15"/>
      <c r="M13" s="15"/>
      <c r="N13" s="15"/>
      <c r="O13" s="15"/>
      <c r="P13" s="15"/>
      <c r="Q13" s="15"/>
      <c r="R13" s="16">
        <v>38749</v>
      </c>
      <c r="S13" s="17">
        <f t="shared" ca="1" si="1"/>
        <v>-3412</v>
      </c>
      <c r="T13" s="18" t="s">
        <v>179</v>
      </c>
    </row>
    <row r="14" spans="1:20" ht="15.95" customHeight="1" x14ac:dyDescent="0.2">
      <c r="A14" s="9" t="s">
        <v>318</v>
      </c>
      <c r="B14" s="10" t="s">
        <v>23</v>
      </c>
      <c r="C14" s="10" t="s">
        <v>56</v>
      </c>
      <c r="D14" s="11" t="s">
        <v>83</v>
      </c>
      <c r="E14" s="11" t="s">
        <v>319</v>
      </c>
      <c r="F14" s="10" t="s">
        <v>320</v>
      </c>
      <c r="G14" s="184" t="s">
        <v>321</v>
      </c>
      <c r="H14" s="63">
        <f t="shared" si="0"/>
        <v>39814</v>
      </c>
      <c r="I14" s="13">
        <v>39814</v>
      </c>
      <c r="J14" s="14" t="s">
        <v>322</v>
      </c>
      <c r="K14" s="15"/>
      <c r="L14" s="15"/>
      <c r="M14" s="15"/>
      <c r="N14" s="15"/>
      <c r="O14" s="15"/>
      <c r="P14" s="15"/>
      <c r="Q14" s="15"/>
      <c r="R14" s="16">
        <v>39480</v>
      </c>
      <c r="S14" s="17">
        <f t="shared" ca="1" si="1"/>
        <v>-2711</v>
      </c>
      <c r="T14" s="18" t="s">
        <v>48</v>
      </c>
    </row>
    <row r="15" spans="1:20" ht="15.95" customHeight="1" x14ac:dyDescent="0.2">
      <c r="A15" s="31" t="s">
        <v>184</v>
      </c>
      <c r="B15" s="32" t="s">
        <v>185</v>
      </c>
      <c r="C15" s="33" t="s">
        <v>37</v>
      </c>
      <c r="D15" s="34" t="s">
        <v>186</v>
      </c>
      <c r="E15" s="34" t="s">
        <v>187</v>
      </c>
      <c r="F15" s="33" t="s">
        <v>315</v>
      </c>
      <c r="G15" s="184">
        <v>74096.160000000003</v>
      </c>
      <c r="H15" s="63">
        <f t="shared" si="0"/>
        <v>39828</v>
      </c>
      <c r="I15" s="36">
        <v>39828</v>
      </c>
      <c r="J15" s="37" t="s">
        <v>494</v>
      </c>
      <c r="K15" s="38"/>
      <c r="L15" s="38"/>
      <c r="M15" s="38"/>
      <c r="N15" s="38"/>
      <c r="O15" s="38"/>
      <c r="P15" s="38"/>
      <c r="Q15" s="38"/>
      <c r="R15" s="39">
        <v>38732</v>
      </c>
      <c r="S15" s="17">
        <f t="shared" ca="1" si="1"/>
        <v>-3459</v>
      </c>
      <c r="T15" s="41" t="s">
        <v>169</v>
      </c>
    </row>
    <row r="16" spans="1:20" ht="15.95" customHeight="1" x14ac:dyDescent="0.2">
      <c r="A16" s="31" t="s">
        <v>224</v>
      </c>
      <c r="B16" s="33" t="s">
        <v>225</v>
      </c>
      <c r="C16" s="33" t="s">
        <v>226</v>
      </c>
      <c r="D16" s="34" t="s">
        <v>227</v>
      </c>
      <c r="E16" s="34" t="s">
        <v>228</v>
      </c>
      <c r="F16" s="33" t="s">
        <v>317</v>
      </c>
      <c r="G16" s="184" t="s">
        <v>539</v>
      </c>
      <c r="H16" s="63">
        <f t="shared" si="0"/>
        <v>39842</v>
      </c>
      <c r="I16" s="36">
        <v>39842</v>
      </c>
      <c r="J16" s="37" t="s">
        <v>229</v>
      </c>
      <c r="K16" s="38"/>
      <c r="L16" s="38"/>
      <c r="M16" s="38"/>
      <c r="N16" s="38"/>
      <c r="O16" s="38"/>
      <c r="P16" s="38"/>
      <c r="Q16" s="38"/>
      <c r="R16" s="39">
        <v>38747</v>
      </c>
      <c r="S16" s="17">
        <f t="shared" ca="1" si="1"/>
        <v>-3445</v>
      </c>
      <c r="T16" s="41" t="s">
        <v>41</v>
      </c>
    </row>
    <row r="17" spans="1:20" ht="15.95" customHeight="1" x14ac:dyDescent="0.2">
      <c r="A17" s="31" t="s">
        <v>189</v>
      </c>
      <c r="B17" s="33" t="s">
        <v>23</v>
      </c>
      <c r="C17" s="33" t="s">
        <v>61</v>
      </c>
      <c r="D17" s="34" t="s">
        <v>190</v>
      </c>
      <c r="E17" s="34" t="s">
        <v>191</v>
      </c>
      <c r="F17" s="33" t="s">
        <v>323</v>
      </c>
      <c r="G17" s="184" t="s">
        <v>540</v>
      </c>
      <c r="H17" s="63">
        <f t="shared" si="0"/>
        <v>39846</v>
      </c>
      <c r="I17" s="36">
        <v>39846</v>
      </c>
      <c r="J17" s="37" t="s">
        <v>324</v>
      </c>
      <c r="K17" s="38"/>
      <c r="L17" s="38"/>
      <c r="M17" s="38"/>
      <c r="N17" s="38"/>
      <c r="O17" s="38"/>
      <c r="P17" s="38"/>
      <c r="Q17" s="38"/>
      <c r="R17" s="39">
        <v>38385</v>
      </c>
      <c r="S17" s="17">
        <f t="shared" ca="1" si="1"/>
        <v>-3806</v>
      </c>
      <c r="T17" s="41" t="s">
        <v>48</v>
      </c>
    </row>
    <row r="18" spans="1:20" ht="15.95" customHeight="1" x14ac:dyDescent="0.2">
      <c r="A18" s="31" t="s">
        <v>325</v>
      </c>
      <c r="B18" s="33" t="s">
        <v>23</v>
      </c>
      <c r="C18" s="33" t="s">
        <v>61</v>
      </c>
      <c r="D18" s="34" t="s">
        <v>180</v>
      </c>
      <c r="E18" s="34" t="s">
        <v>326</v>
      </c>
      <c r="F18" s="33" t="s">
        <v>327</v>
      </c>
      <c r="G18" s="184" t="s">
        <v>328</v>
      </c>
      <c r="H18" s="63">
        <f t="shared" si="0"/>
        <v>39849</v>
      </c>
      <c r="I18" s="36">
        <v>39849</v>
      </c>
      <c r="J18" s="37" t="s">
        <v>329</v>
      </c>
      <c r="K18" s="38"/>
      <c r="L18" s="38"/>
      <c r="M18" s="38"/>
      <c r="N18" s="38"/>
      <c r="O18" s="38"/>
      <c r="P18" s="38"/>
      <c r="Q18" s="38"/>
      <c r="R18" s="39">
        <v>39484</v>
      </c>
      <c r="S18" s="17">
        <f t="shared" ca="1" si="1"/>
        <v>-2707</v>
      </c>
      <c r="T18" s="41" t="s">
        <v>48</v>
      </c>
    </row>
    <row r="19" spans="1:20" ht="15.95" customHeight="1" x14ac:dyDescent="0.2">
      <c r="A19" s="31" t="s">
        <v>91</v>
      </c>
      <c r="B19" s="32" t="s">
        <v>92</v>
      </c>
      <c r="C19" s="33" t="s">
        <v>67</v>
      </c>
      <c r="D19" s="34" t="s">
        <v>93</v>
      </c>
      <c r="E19" s="34" t="s">
        <v>94</v>
      </c>
      <c r="F19" s="33" t="s">
        <v>248</v>
      </c>
      <c r="G19" s="184" t="s">
        <v>541</v>
      </c>
      <c r="H19" s="63">
        <f t="shared" si="0"/>
        <v>39854</v>
      </c>
      <c r="I19" s="36">
        <v>39854</v>
      </c>
      <c r="J19" s="37" t="s">
        <v>505</v>
      </c>
      <c r="K19" s="38"/>
      <c r="L19" s="38"/>
      <c r="M19" s="38"/>
      <c r="N19" s="38"/>
      <c r="O19" s="38"/>
      <c r="P19" s="38"/>
      <c r="Q19" s="38"/>
      <c r="R19" s="39">
        <v>37844</v>
      </c>
      <c r="S19" s="17">
        <f t="shared" ca="1" si="1"/>
        <v>-4347</v>
      </c>
      <c r="T19" s="41" t="s">
        <v>96</v>
      </c>
    </row>
    <row r="20" spans="1:20" ht="15.95" customHeight="1" x14ac:dyDescent="0.2">
      <c r="A20" s="31" t="s">
        <v>193</v>
      </c>
      <c r="B20" s="33" t="s">
        <v>23</v>
      </c>
      <c r="C20" s="33" t="s">
        <v>56</v>
      </c>
      <c r="D20" s="34" t="s">
        <v>194</v>
      </c>
      <c r="E20" s="34" t="s">
        <v>195</v>
      </c>
      <c r="F20" s="33" t="s">
        <v>330</v>
      </c>
      <c r="G20" s="184" t="s">
        <v>542</v>
      </c>
      <c r="H20" s="63">
        <f t="shared" si="0"/>
        <v>39856</v>
      </c>
      <c r="I20" s="36">
        <v>39856</v>
      </c>
      <c r="J20" s="37" t="s">
        <v>331</v>
      </c>
      <c r="K20" s="38"/>
      <c r="L20" s="38"/>
      <c r="M20" s="38"/>
      <c r="N20" s="38"/>
      <c r="O20" s="38"/>
      <c r="P20" s="38"/>
      <c r="Q20" s="38"/>
      <c r="R20" s="39">
        <v>39125</v>
      </c>
      <c r="S20" s="17">
        <f t="shared" ca="1" si="1"/>
        <v>-3065</v>
      </c>
      <c r="T20" s="41" t="s">
        <v>48</v>
      </c>
    </row>
    <row r="21" spans="1:20" ht="15.95" customHeight="1" x14ac:dyDescent="0.2">
      <c r="A21" s="31" t="s">
        <v>332</v>
      </c>
      <c r="B21" s="33" t="s">
        <v>23</v>
      </c>
      <c r="C21" s="33" t="s">
        <v>61</v>
      </c>
      <c r="D21" s="34" t="s">
        <v>333</v>
      </c>
      <c r="E21" s="34" t="s">
        <v>334</v>
      </c>
      <c r="F21" s="33" t="s">
        <v>335</v>
      </c>
      <c r="G21" s="184" t="s">
        <v>543</v>
      </c>
      <c r="H21" s="63">
        <f t="shared" si="0"/>
        <v>39865</v>
      </c>
      <c r="I21" s="36">
        <v>39865</v>
      </c>
      <c r="J21" s="37" t="s">
        <v>336</v>
      </c>
      <c r="K21" s="38"/>
      <c r="L21" s="38"/>
      <c r="M21" s="38"/>
      <c r="N21" s="38"/>
      <c r="O21" s="38"/>
      <c r="P21" s="38"/>
      <c r="Q21" s="38"/>
      <c r="R21" s="39">
        <v>39500</v>
      </c>
      <c r="S21" s="17">
        <f t="shared" ca="1" si="1"/>
        <v>-2691</v>
      </c>
      <c r="T21" s="41" t="s">
        <v>41</v>
      </c>
    </row>
    <row r="22" spans="1:20" ht="15.95" customHeight="1" x14ac:dyDescent="0.2">
      <c r="A22" s="31" t="s">
        <v>197</v>
      </c>
      <c r="B22" s="33" t="s">
        <v>23</v>
      </c>
      <c r="C22" s="33" t="s">
        <v>56</v>
      </c>
      <c r="D22" s="34" t="s">
        <v>198</v>
      </c>
      <c r="E22" s="34" t="s">
        <v>337</v>
      </c>
      <c r="F22" s="33" t="s">
        <v>338</v>
      </c>
      <c r="G22" s="184" t="s">
        <v>544</v>
      </c>
      <c r="H22" s="69">
        <f t="shared" si="0"/>
        <v>39872</v>
      </c>
      <c r="I22" s="36">
        <v>39872</v>
      </c>
      <c r="J22" s="37" t="s">
        <v>339</v>
      </c>
      <c r="K22" s="38"/>
      <c r="L22" s="38"/>
      <c r="M22" s="38"/>
      <c r="N22" s="38"/>
      <c r="O22" s="38"/>
      <c r="P22" s="38"/>
      <c r="Q22" s="38"/>
      <c r="R22" s="39">
        <v>38412</v>
      </c>
      <c r="S22" s="17">
        <f t="shared" ca="1" si="1"/>
        <v>-3752</v>
      </c>
      <c r="T22" s="41" t="s">
        <v>201</v>
      </c>
    </row>
    <row r="23" spans="1:20" ht="15.95" customHeight="1" x14ac:dyDescent="0.2">
      <c r="A23" s="31" t="s">
        <v>202</v>
      </c>
      <c r="B23" s="33" t="s">
        <v>23</v>
      </c>
      <c r="C23" s="33" t="s">
        <v>56</v>
      </c>
      <c r="D23" s="34" t="s">
        <v>340</v>
      </c>
      <c r="E23" s="34" t="s">
        <v>204</v>
      </c>
      <c r="F23" s="33" t="s">
        <v>341</v>
      </c>
      <c r="G23" s="184" t="s">
        <v>545</v>
      </c>
      <c r="H23" s="63">
        <f t="shared" si="0"/>
        <v>39881</v>
      </c>
      <c r="I23" s="36">
        <v>39881</v>
      </c>
      <c r="J23" s="37" t="s">
        <v>342</v>
      </c>
      <c r="K23" s="38"/>
      <c r="L23" s="38"/>
      <c r="M23" s="38"/>
      <c r="N23" s="38"/>
      <c r="O23" s="38"/>
      <c r="P23" s="38"/>
      <c r="Q23" s="38"/>
      <c r="R23" s="39">
        <v>37711</v>
      </c>
      <c r="S23" s="17">
        <f t="shared" ca="1" si="1"/>
        <v>-4501</v>
      </c>
      <c r="T23" s="41" t="s">
        <v>96</v>
      </c>
    </row>
    <row r="24" spans="1:20" ht="15.95" customHeight="1" x14ac:dyDescent="0.2">
      <c r="A24" s="9" t="s">
        <v>65</v>
      </c>
      <c r="B24" s="20" t="s">
        <v>66</v>
      </c>
      <c r="C24" s="10" t="s">
        <v>67</v>
      </c>
      <c r="D24" s="11" t="s">
        <v>68</v>
      </c>
      <c r="E24" s="11" t="s">
        <v>69</v>
      </c>
      <c r="F24" s="10" t="s">
        <v>291</v>
      </c>
      <c r="G24" s="184" t="s">
        <v>506</v>
      </c>
      <c r="H24" s="63">
        <f t="shared" si="0"/>
        <v>39882</v>
      </c>
      <c r="I24" s="13">
        <v>39882</v>
      </c>
      <c r="J24" s="27" t="s">
        <v>391</v>
      </c>
      <c r="K24" s="15"/>
      <c r="L24" s="15"/>
      <c r="M24" s="15"/>
      <c r="N24" s="15"/>
      <c r="O24" s="15"/>
      <c r="P24" s="15"/>
      <c r="Q24" s="15"/>
      <c r="R24" s="16">
        <v>37782</v>
      </c>
      <c r="S24" s="17">
        <f t="shared" ca="1" si="1"/>
        <v>-4408</v>
      </c>
      <c r="T24" s="18" t="s">
        <v>48</v>
      </c>
    </row>
    <row r="25" spans="1:20" ht="15.95" customHeight="1" x14ac:dyDescent="0.2">
      <c r="A25" s="187" t="s">
        <v>206</v>
      </c>
      <c r="B25" s="33" t="s">
        <v>23</v>
      </c>
      <c r="C25" s="33" t="s">
        <v>56</v>
      </c>
      <c r="D25" s="34" t="s">
        <v>207</v>
      </c>
      <c r="E25" s="34" t="s">
        <v>208</v>
      </c>
      <c r="F25" s="33" t="s">
        <v>343</v>
      </c>
      <c r="G25" s="184" t="s">
        <v>209</v>
      </c>
      <c r="H25" s="63">
        <f t="shared" si="0"/>
        <v>39888</v>
      </c>
      <c r="I25" s="36">
        <v>39888</v>
      </c>
      <c r="J25" s="37" t="s">
        <v>344</v>
      </c>
      <c r="K25" s="38"/>
      <c r="L25" s="38"/>
      <c r="M25" s="38"/>
      <c r="N25" s="38"/>
      <c r="O25" s="38"/>
      <c r="P25" s="38"/>
      <c r="Q25" s="38"/>
      <c r="R25" s="39">
        <v>38062</v>
      </c>
      <c r="S25" s="17">
        <f t="shared" ca="1" si="1"/>
        <v>-4129</v>
      </c>
      <c r="T25" s="41" t="s">
        <v>48</v>
      </c>
    </row>
    <row r="26" spans="1:20" ht="15.95" customHeight="1" x14ac:dyDescent="0.2">
      <c r="A26" s="31" t="s">
        <v>286</v>
      </c>
      <c r="B26" s="32" t="s">
        <v>251</v>
      </c>
      <c r="C26" s="33" t="s">
        <v>37</v>
      </c>
      <c r="D26" s="34" t="s">
        <v>287</v>
      </c>
      <c r="E26" s="34" t="s">
        <v>288</v>
      </c>
      <c r="F26" s="33" t="s">
        <v>246</v>
      </c>
      <c r="G26" s="184" t="s">
        <v>289</v>
      </c>
      <c r="H26" s="69">
        <f t="shared" si="0"/>
        <v>39908</v>
      </c>
      <c r="I26" s="77">
        <v>39908</v>
      </c>
      <c r="J26" s="37" t="s">
        <v>392</v>
      </c>
      <c r="K26" s="38"/>
      <c r="L26" s="38"/>
      <c r="M26" s="38"/>
      <c r="N26" s="38"/>
      <c r="O26" s="38"/>
      <c r="P26" s="38"/>
      <c r="Q26" s="38"/>
      <c r="R26" s="39">
        <v>39300</v>
      </c>
      <c r="S26" s="17">
        <f t="shared" ca="1" si="1"/>
        <v>-2891</v>
      </c>
      <c r="T26" s="41" t="s">
        <v>201</v>
      </c>
    </row>
    <row r="27" spans="1:20" ht="15.95" customHeight="1" x14ac:dyDescent="0.2">
      <c r="A27" s="31" t="s">
        <v>35</v>
      </c>
      <c r="B27" s="78" t="s">
        <v>36</v>
      </c>
      <c r="C27" s="33" t="s">
        <v>37</v>
      </c>
      <c r="D27" s="34" t="s">
        <v>38</v>
      </c>
      <c r="E27" s="34" t="s">
        <v>39</v>
      </c>
      <c r="F27" s="33" t="s">
        <v>345</v>
      </c>
      <c r="G27" s="184" t="s">
        <v>560</v>
      </c>
      <c r="H27" s="63">
        <f t="shared" si="0"/>
        <v>39909</v>
      </c>
      <c r="I27" s="36">
        <v>39909</v>
      </c>
      <c r="J27" s="37" t="s">
        <v>346</v>
      </c>
      <c r="K27" s="38"/>
      <c r="L27" s="38"/>
      <c r="M27" s="38"/>
      <c r="N27" s="38"/>
      <c r="O27" s="38"/>
      <c r="P27" s="38"/>
      <c r="Q27" s="38"/>
      <c r="R27" s="39">
        <v>38084</v>
      </c>
      <c r="S27" s="17">
        <f t="shared" ca="1" si="1"/>
        <v>-4108</v>
      </c>
      <c r="T27" s="41" t="s">
        <v>41</v>
      </c>
    </row>
    <row r="28" spans="1:20" ht="15.95" customHeight="1" x14ac:dyDescent="0.2">
      <c r="A28" s="31" t="s">
        <v>49</v>
      </c>
      <c r="B28" s="33" t="s">
        <v>23</v>
      </c>
      <c r="C28" s="33" t="s">
        <v>24</v>
      </c>
      <c r="D28" s="34" t="s">
        <v>50</v>
      </c>
      <c r="E28" s="34" t="s">
        <v>51</v>
      </c>
      <c r="F28" s="33" t="s">
        <v>347</v>
      </c>
      <c r="G28" s="184" t="s">
        <v>348</v>
      </c>
      <c r="H28" s="63">
        <f t="shared" si="0"/>
        <v>39925</v>
      </c>
      <c r="I28" s="36">
        <v>39925</v>
      </c>
      <c r="J28" s="37" t="s">
        <v>349</v>
      </c>
      <c r="K28" s="38"/>
      <c r="L28" s="38"/>
      <c r="M28" s="38"/>
      <c r="N28" s="38"/>
      <c r="O28" s="38"/>
      <c r="P28" s="38"/>
      <c r="Q28" s="38"/>
      <c r="R28" s="39">
        <v>37733</v>
      </c>
      <c r="S28" s="17">
        <f t="shared" ca="1" si="1"/>
        <v>-4457</v>
      </c>
      <c r="T28" s="41" t="s">
        <v>54</v>
      </c>
    </row>
    <row r="29" spans="1:20" ht="15.95" customHeight="1" x14ac:dyDescent="0.2">
      <c r="A29" s="9" t="s">
        <v>55</v>
      </c>
      <c r="B29" s="22" t="s">
        <v>23</v>
      </c>
      <c r="C29" s="22" t="s">
        <v>56</v>
      </c>
      <c r="D29" s="15" t="s">
        <v>57</v>
      </c>
      <c r="E29" s="15" t="s">
        <v>58</v>
      </c>
      <c r="F29" s="22" t="s">
        <v>350</v>
      </c>
      <c r="G29" s="185" t="s">
        <v>351</v>
      </c>
      <c r="H29" s="63">
        <f t="shared" si="0"/>
        <v>39927</v>
      </c>
      <c r="I29" s="24">
        <v>39927</v>
      </c>
      <c r="J29" s="25" t="s">
        <v>352</v>
      </c>
      <c r="K29" s="15"/>
      <c r="L29" s="15"/>
      <c r="M29" s="15"/>
      <c r="N29" s="15"/>
      <c r="O29" s="15"/>
      <c r="P29" s="15"/>
      <c r="Q29" s="15"/>
      <c r="R29" s="16">
        <v>38832</v>
      </c>
      <c r="S29" s="17">
        <f t="shared" ca="1" si="1"/>
        <v>-3359</v>
      </c>
      <c r="T29" s="26" t="s">
        <v>48</v>
      </c>
    </row>
    <row r="30" spans="1:20" ht="15.95" customHeight="1" x14ac:dyDescent="0.2">
      <c r="A30" s="31" t="s">
        <v>353</v>
      </c>
      <c r="B30" s="33" t="s">
        <v>23</v>
      </c>
      <c r="C30" s="33" t="s">
        <v>61</v>
      </c>
      <c r="D30" s="34" t="s">
        <v>25</v>
      </c>
      <c r="E30" s="34" t="s">
        <v>26</v>
      </c>
      <c r="F30" s="33" t="s">
        <v>262</v>
      </c>
      <c r="G30" s="184" t="s">
        <v>354</v>
      </c>
      <c r="H30" s="69">
        <f t="shared" si="0"/>
        <v>39940</v>
      </c>
      <c r="I30" s="36">
        <v>39940</v>
      </c>
      <c r="J30" s="37" t="s">
        <v>355</v>
      </c>
      <c r="K30" s="38"/>
      <c r="L30" s="38"/>
      <c r="M30" s="38"/>
      <c r="N30" s="38"/>
      <c r="O30" s="38"/>
      <c r="P30" s="38"/>
      <c r="Q30" s="38"/>
      <c r="R30" s="39">
        <v>39576</v>
      </c>
      <c r="S30" s="17">
        <f t="shared" ca="1" si="1"/>
        <v>-2616</v>
      </c>
      <c r="T30" s="41" t="s">
        <v>29</v>
      </c>
    </row>
    <row r="31" spans="1:20" ht="15.95" customHeight="1" x14ac:dyDescent="0.2">
      <c r="A31" s="9" t="s">
        <v>360</v>
      </c>
      <c r="B31" s="10" t="s">
        <v>23</v>
      </c>
      <c r="C31" s="10" t="s">
        <v>61</v>
      </c>
      <c r="D31" s="11" t="s">
        <v>212</v>
      </c>
      <c r="E31" s="11" t="s">
        <v>361</v>
      </c>
      <c r="F31" s="10"/>
      <c r="G31" s="184" t="s">
        <v>546</v>
      </c>
      <c r="H31" s="63">
        <f t="shared" si="0"/>
        <v>39983</v>
      </c>
      <c r="I31" s="13">
        <v>39983</v>
      </c>
      <c r="J31" s="14" t="s">
        <v>362</v>
      </c>
      <c r="K31" s="15"/>
      <c r="L31" s="15"/>
      <c r="M31" s="15"/>
      <c r="N31" s="15"/>
      <c r="O31" s="15"/>
      <c r="P31" s="15"/>
      <c r="Q31" s="15"/>
      <c r="R31" s="16">
        <v>39617</v>
      </c>
      <c r="S31" s="17">
        <f t="shared" ca="1" si="1"/>
        <v>-2573</v>
      </c>
      <c r="T31" s="18" t="s">
        <v>48</v>
      </c>
    </row>
    <row r="32" spans="1:20" ht="15.95" customHeight="1" x14ac:dyDescent="0.2">
      <c r="A32" s="31" t="s">
        <v>356</v>
      </c>
      <c r="B32" s="33" t="s">
        <v>23</v>
      </c>
      <c r="C32" s="33" t="s">
        <v>61</v>
      </c>
      <c r="D32" s="34" t="s">
        <v>62</v>
      </c>
      <c r="E32" s="34" t="s">
        <v>357</v>
      </c>
      <c r="F32" s="33" t="s">
        <v>358</v>
      </c>
      <c r="G32" s="184" t="s">
        <v>547</v>
      </c>
      <c r="H32" s="69">
        <f t="shared" si="0"/>
        <v>39983</v>
      </c>
      <c r="I32" s="36">
        <v>39983</v>
      </c>
      <c r="J32" s="37" t="s">
        <v>359</v>
      </c>
      <c r="K32" s="38"/>
      <c r="L32" s="38"/>
      <c r="M32" s="38"/>
      <c r="N32" s="38"/>
      <c r="O32" s="38"/>
      <c r="P32" s="38"/>
      <c r="Q32" s="38"/>
      <c r="R32" s="39">
        <v>39619</v>
      </c>
      <c r="S32" s="17">
        <f t="shared" ca="1" si="1"/>
        <v>-2573</v>
      </c>
      <c r="T32" s="41" t="s">
        <v>48</v>
      </c>
    </row>
    <row r="33" spans="1:20" ht="15.95" customHeight="1" x14ac:dyDescent="0.2">
      <c r="A33" s="9" t="s">
        <v>363</v>
      </c>
      <c r="B33" s="20" t="s">
        <v>364</v>
      </c>
      <c r="C33" s="10" t="s">
        <v>37</v>
      </c>
      <c r="D33" s="11" t="s">
        <v>365</v>
      </c>
      <c r="E33" s="11" t="s">
        <v>366</v>
      </c>
      <c r="F33" s="10" t="s">
        <v>367</v>
      </c>
      <c r="G33" s="184" t="s">
        <v>548</v>
      </c>
      <c r="H33" s="63">
        <f t="shared" si="0"/>
        <v>40018</v>
      </c>
      <c r="I33" s="13">
        <v>40018</v>
      </c>
      <c r="J33" s="14" t="s">
        <v>368</v>
      </c>
      <c r="K33" s="15"/>
      <c r="L33" s="15"/>
      <c r="M33" s="15"/>
      <c r="N33" s="15"/>
      <c r="O33" s="15"/>
      <c r="P33" s="15"/>
      <c r="Q33" s="15"/>
      <c r="R33" s="16">
        <v>39288</v>
      </c>
      <c r="S33" s="17">
        <f t="shared" ca="1" si="1"/>
        <v>-2903</v>
      </c>
      <c r="T33" s="18" t="s">
        <v>96</v>
      </c>
    </row>
    <row r="34" spans="1:20" ht="15.95" customHeight="1" x14ac:dyDescent="0.2">
      <c r="A34" s="31" t="s">
        <v>87</v>
      </c>
      <c r="B34" s="33" t="s">
        <v>23</v>
      </c>
      <c r="C34" s="33" t="s">
        <v>56</v>
      </c>
      <c r="D34" s="34" t="s">
        <v>88</v>
      </c>
      <c r="E34" s="34" t="s">
        <v>89</v>
      </c>
      <c r="F34" s="33" t="s">
        <v>369</v>
      </c>
      <c r="G34" s="184" t="s">
        <v>549</v>
      </c>
      <c r="H34" s="69">
        <f t="shared" si="0"/>
        <v>40025</v>
      </c>
      <c r="I34" s="36">
        <v>40025</v>
      </c>
      <c r="J34" s="37" t="s">
        <v>370</v>
      </c>
      <c r="K34" s="38"/>
      <c r="L34" s="38"/>
      <c r="M34" s="38"/>
      <c r="N34" s="38"/>
      <c r="O34" s="38"/>
      <c r="P34" s="38"/>
      <c r="Q34" s="38"/>
      <c r="R34" s="39">
        <v>38989</v>
      </c>
      <c r="S34" s="17">
        <f t="shared" ca="1" si="1"/>
        <v>-3199</v>
      </c>
      <c r="T34" s="41" t="s">
        <v>48</v>
      </c>
    </row>
    <row r="35" spans="1:20" ht="15.95" customHeight="1" x14ac:dyDescent="0.2">
      <c r="A35" s="9" t="s">
        <v>371</v>
      </c>
      <c r="B35" s="10" t="s">
        <v>23</v>
      </c>
      <c r="C35" s="10" t="s">
        <v>372</v>
      </c>
      <c r="D35" s="11" t="s">
        <v>373</v>
      </c>
      <c r="E35" s="11" t="s">
        <v>374</v>
      </c>
      <c r="F35" s="10"/>
      <c r="G35" s="184" t="s">
        <v>375</v>
      </c>
      <c r="H35" s="63">
        <f t="shared" si="0"/>
        <v>40038</v>
      </c>
      <c r="I35" s="13">
        <v>40038</v>
      </c>
      <c r="J35" s="14" t="s">
        <v>376</v>
      </c>
      <c r="K35" s="15"/>
      <c r="L35" s="15"/>
      <c r="M35" s="15"/>
      <c r="N35" s="15"/>
      <c r="O35" s="15"/>
      <c r="P35" s="15"/>
      <c r="Q35" s="15"/>
      <c r="R35" s="16">
        <v>39674</v>
      </c>
      <c r="S35" s="17">
        <f t="shared" ca="1" si="1"/>
        <v>-2518</v>
      </c>
      <c r="T35" s="18" t="s">
        <v>96</v>
      </c>
    </row>
    <row r="36" spans="1:20" ht="15.95" customHeight="1" x14ac:dyDescent="0.2">
      <c r="A36" s="31" t="s">
        <v>250</v>
      </c>
      <c r="B36" s="32" t="s">
        <v>251</v>
      </c>
      <c r="C36" s="33" t="s">
        <v>226</v>
      </c>
      <c r="D36" s="34" t="s">
        <v>44</v>
      </c>
      <c r="E36" s="34" t="s">
        <v>252</v>
      </c>
      <c r="F36" s="33" t="s">
        <v>253</v>
      </c>
      <c r="G36" s="184" t="s">
        <v>550</v>
      </c>
      <c r="H36" s="69">
        <f t="shared" si="0"/>
        <v>40058</v>
      </c>
      <c r="I36" s="36">
        <v>40058</v>
      </c>
      <c r="J36" s="37" t="s">
        <v>393</v>
      </c>
      <c r="K36" s="38"/>
      <c r="L36" s="38"/>
      <c r="M36" s="38"/>
      <c r="N36" s="38"/>
      <c r="O36" s="38"/>
      <c r="P36" s="38"/>
      <c r="Q36" s="38"/>
      <c r="R36" s="39">
        <v>39328</v>
      </c>
      <c r="S36" s="17">
        <f t="shared" ca="1" si="1"/>
        <v>-2863</v>
      </c>
      <c r="T36" s="41" t="s">
        <v>48</v>
      </c>
    </row>
    <row r="37" spans="1:20" ht="15.95" customHeight="1" x14ac:dyDescent="0.2">
      <c r="A37" s="31" t="s">
        <v>97</v>
      </c>
      <c r="B37" s="33" t="s">
        <v>23</v>
      </c>
      <c r="C37" s="33" t="s">
        <v>61</v>
      </c>
      <c r="D37" s="34" t="s">
        <v>98</v>
      </c>
      <c r="E37" s="34" t="s">
        <v>99</v>
      </c>
      <c r="F37" s="33" t="s">
        <v>255</v>
      </c>
      <c r="G37" s="184" t="s">
        <v>551</v>
      </c>
      <c r="H37" s="69">
        <f t="shared" si="0"/>
        <v>40075</v>
      </c>
      <c r="I37" s="36">
        <v>40075</v>
      </c>
      <c r="J37" s="37" t="s">
        <v>394</v>
      </c>
      <c r="K37" s="38"/>
      <c r="L37" s="38"/>
      <c r="M37" s="38"/>
      <c r="N37" s="38"/>
      <c r="O37" s="38"/>
      <c r="P37" s="38"/>
      <c r="Q37" s="38"/>
      <c r="R37" s="39">
        <v>38249</v>
      </c>
      <c r="S37" s="17">
        <f t="shared" ca="1" si="1"/>
        <v>-3942</v>
      </c>
      <c r="T37" s="41" t="s">
        <v>48</v>
      </c>
    </row>
    <row r="38" spans="1:20" ht="15.95" customHeight="1" x14ac:dyDescent="0.2">
      <c r="A38" s="31" t="s">
        <v>102</v>
      </c>
      <c r="B38" s="33" t="s">
        <v>23</v>
      </c>
      <c r="C38" s="33" t="s">
        <v>56</v>
      </c>
      <c r="D38" s="34" t="s">
        <v>103</v>
      </c>
      <c r="E38" s="34" t="s">
        <v>104</v>
      </c>
      <c r="F38" s="33" t="s">
        <v>257</v>
      </c>
      <c r="G38" s="184" t="s">
        <v>552</v>
      </c>
      <c r="H38" s="69">
        <f t="shared" si="0"/>
        <v>40081</v>
      </c>
      <c r="I38" s="36">
        <v>40081</v>
      </c>
      <c r="J38" s="37" t="s">
        <v>395</v>
      </c>
      <c r="K38" s="38"/>
      <c r="L38" s="38"/>
      <c r="M38" s="38"/>
      <c r="N38" s="38"/>
      <c r="O38" s="38"/>
      <c r="P38" s="38"/>
      <c r="Q38" s="38"/>
      <c r="R38" s="39">
        <v>38986</v>
      </c>
      <c r="S38" s="17">
        <f t="shared" ca="1" si="1"/>
        <v>-3205</v>
      </c>
      <c r="T38" s="41" t="s">
        <v>96</v>
      </c>
    </row>
    <row r="39" spans="1:20" ht="15.95" customHeight="1" x14ac:dyDescent="0.2">
      <c r="A39" s="9" t="s">
        <v>259</v>
      </c>
      <c r="B39" s="10" t="s">
        <v>23</v>
      </c>
      <c r="C39" s="10" t="s">
        <v>24</v>
      </c>
      <c r="D39" s="11" t="s">
        <v>260</v>
      </c>
      <c r="E39" s="11" t="s">
        <v>261</v>
      </c>
      <c r="F39" s="10" t="s">
        <v>262</v>
      </c>
      <c r="G39" s="184" t="s">
        <v>522</v>
      </c>
      <c r="H39" s="63">
        <f t="shared" si="0"/>
        <v>40086</v>
      </c>
      <c r="I39" s="76">
        <v>40086</v>
      </c>
      <c r="J39" s="14" t="s">
        <v>523</v>
      </c>
      <c r="K39" s="15"/>
      <c r="L39" s="15"/>
      <c r="M39" s="15"/>
      <c r="N39" s="15"/>
      <c r="O39" s="15"/>
      <c r="P39" s="15"/>
      <c r="Q39" s="15"/>
      <c r="R39" s="16">
        <v>39356</v>
      </c>
      <c r="S39" s="17">
        <f t="shared" ca="1" si="1"/>
        <v>-2805</v>
      </c>
      <c r="T39" s="18" t="s">
        <v>34</v>
      </c>
    </row>
    <row r="40" spans="1:20" ht="15.95" customHeight="1" x14ac:dyDescent="0.2">
      <c r="A40" s="9" t="s">
        <v>515</v>
      </c>
      <c r="B40" s="20" t="s">
        <v>23</v>
      </c>
      <c r="C40" s="10" t="s">
        <v>56</v>
      </c>
      <c r="D40" s="11" t="s">
        <v>516</v>
      </c>
      <c r="E40" s="11" t="s">
        <v>517</v>
      </c>
      <c r="F40" s="10"/>
      <c r="G40" s="184" t="s">
        <v>553</v>
      </c>
      <c r="H40" s="63">
        <f>I40-'Posição em 31-12-2008 TCE'!$K$7</f>
        <v>40086</v>
      </c>
      <c r="I40" s="76">
        <v>40086</v>
      </c>
      <c r="J40" s="14" t="s">
        <v>520</v>
      </c>
      <c r="K40" s="15"/>
      <c r="L40" s="15"/>
      <c r="M40" s="15"/>
      <c r="N40" s="15"/>
      <c r="O40" s="15"/>
      <c r="P40" s="15"/>
      <c r="Q40" s="15"/>
      <c r="R40" s="16">
        <v>39722</v>
      </c>
      <c r="S40" s="17">
        <f t="shared" ca="1" si="1"/>
        <v>-2440</v>
      </c>
      <c r="T40" s="18" t="s">
        <v>96</v>
      </c>
    </row>
    <row r="41" spans="1:20" ht="15.95" customHeight="1" x14ac:dyDescent="0.2">
      <c r="A41" s="31" t="s">
        <v>112</v>
      </c>
      <c r="B41" s="33" t="s">
        <v>23</v>
      </c>
      <c r="C41" s="33" t="s">
        <v>56</v>
      </c>
      <c r="D41" s="34" t="s">
        <v>44</v>
      </c>
      <c r="E41" s="34" t="s">
        <v>113</v>
      </c>
      <c r="F41" s="33" t="s">
        <v>253</v>
      </c>
      <c r="G41" s="184" t="s">
        <v>554</v>
      </c>
      <c r="H41" s="69">
        <f t="shared" ref="H41:H54" si="2">I41-$K$7</f>
        <v>40090</v>
      </c>
      <c r="I41" s="36">
        <v>40090</v>
      </c>
      <c r="J41" s="37" t="s">
        <v>265</v>
      </c>
      <c r="K41" s="38"/>
      <c r="L41" s="38"/>
      <c r="M41" s="38"/>
      <c r="N41" s="38"/>
      <c r="O41" s="38"/>
      <c r="P41" s="38"/>
      <c r="Q41" s="38"/>
      <c r="R41" s="39">
        <v>39026</v>
      </c>
      <c r="S41" s="17">
        <f t="shared" ca="1" si="1"/>
        <v>-3165</v>
      </c>
      <c r="T41" s="41" t="s">
        <v>48</v>
      </c>
    </row>
    <row r="42" spans="1:20" ht="15.6" customHeight="1" x14ac:dyDescent="0.2">
      <c r="A42" s="31" t="s">
        <v>115</v>
      </c>
      <c r="B42" s="33" t="s">
        <v>23</v>
      </c>
      <c r="C42" s="33" t="s">
        <v>56</v>
      </c>
      <c r="D42" s="34" t="s">
        <v>116</v>
      </c>
      <c r="E42" s="34" t="s">
        <v>117</v>
      </c>
      <c r="F42" s="33" t="s">
        <v>266</v>
      </c>
      <c r="G42" s="184" t="s">
        <v>555</v>
      </c>
      <c r="H42" s="69">
        <f t="shared" si="2"/>
        <v>40110</v>
      </c>
      <c r="I42" s="77">
        <v>40110</v>
      </c>
      <c r="J42" s="37" t="s">
        <v>528</v>
      </c>
      <c r="K42" s="38"/>
      <c r="L42" s="38"/>
      <c r="M42" s="38"/>
      <c r="N42" s="38"/>
      <c r="O42" s="38"/>
      <c r="P42" s="38"/>
      <c r="Q42" s="38"/>
      <c r="R42" s="39">
        <v>39015</v>
      </c>
      <c r="S42" s="17">
        <f t="shared" ca="1" si="1"/>
        <v>-3176</v>
      </c>
      <c r="T42" s="41" t="s">
        <v>96</v>
      </c>
    </row>
    <row r="43" spans="1:20" ht="15.95" customHeight="1" x14ac:dyDescent="0.2">
      <c r="A43" s="31" t="s">
        <v>124</v>
      </c>
      <c r="B43" s="33" t="s">
        <v>23</v>
      </c>
      <c r="C43" s="33" t="s">
        <v>56</v>
      </c>
      <c r="D43" s="34" t="s">
        <v>125</v>
      </c>
      <c r="E43" s="34" t="s">
        <v>126</v>
      </c>
      <c r="F43" s="33" t="s">
        <v>276</v>
      </c>
      <c r="G43" s="184" t="s">
        <v>556</v>
      </c>
      <c r="H43" s="69">
        <f t="shared" si="2"/>
        <v>40117</v>
      </c>
      <c r="I43" s="36">
        <v>40117</v>
      </c>
      <c r="J43" s="37" t="s">
        <v>396</v>
      </c>
      <c r="K43" s="38"/>
      <c r="L43" s="38"/>
      <c r="M43" s="38"/>
      <c r="N43" s="38"/>
      <c r="O43" s="38"/>
      <c r="P43" s="38"/>
      <c r="Q43" s="38"/>
      <c r="R43" s="39">
        <v>39022</v>
      </c>
      <c r="S43" s="17">
        <f t="shared" ca="1" si="1"/>
        <v>-3138</v>
      </c>
      <c r="T43" s="41" t="s">
        <v>48</v>
      </c>
    </row>
    <row r="44" spans="1:20" ht="15.95" customHeight="1" x14ac:dyDescent="0.2">
      <c r="A44" s="31" t="s">
        <v>397</v>
      </c>
      <c r="B44" s="33" t="s">
        <v>398</v>
      </c>
      <c r="C44" s="33" t="s">
        <v>226</v>
      </c>
      <c r="D44" s="34" t="s">
        <v>521</v>
      </c>
      <c r="E44" s="34" t="s">
        <v>400</v>
      </c>
      <c r="F44" s="33"/>
      <c r="G44" s="184" t="s">
        <v>536</v>
      </c>
      <c r="H44" s="69">
        <f t="shared" si="2"/>
        <v>40120</v>
      </c>
      <c r="I44" s="36">
        <v>40120</v>
      </c>
      <c r="J44" s="37" t="s">
        <v>534</v>
      </c>
      <c r="K44" s="38"/>
      <c r="L44" s="38"/>
      <c r="M44" s="38"/>
      <c r="N44" s="38"/>
      <c r="O44" s="38"/>
      <c r="P44" s="38"/>
      <c r="Q44" s="38"/>
      <c r="R44" s="39">
        <v>39755</v>
      </c>
      <c r="S44" s="17">
        <f t="shared" ca="1" si="1"/>
        <v>-2436</v>
      </c>
      <c r="T44" s="41" t="s">
        <v>48</v>
      </c>
    </row>
    <row r="45" spans="1:20" ht="15.95" customHeight="1" x14ac:dyDescent="0.2">
      <c r="A45" s="9" t="s">
        <v>137</v>
      </c>
      <c r="B45" s="10" t="s">
        <v>23</v>
      </c>
      <c r="C45" s="10" t="s">
        <v>56</v>
      </c>
      <c r="D45" s="11" t="s">
        <v>138</v>
      </c>
      <c r="E45" s="11" t="s">
        <v>139</v>
      </c>
      <c r="F45" s="10" t="s">
        <v>281</v>
      </c>
      <c r="G45" s="184" t="s">
        <v>402</v>
      </c>
      <c r="H45" s="63">
        <f t="shared" si="2"/>
        <v>40132</v>
      </c>
      <c r="I45" s="13">
        <v>40132</v>
      </c>
      <c r="J45" s="14" t="s">
        <v>403</v>
      </c>
      <c r="K45" s="15"/>
      <c r="L45" s="15"/>
      <c r="M45" s="15"/>
      <c r="N45" s="15"/>
      <c r="O45" s="15"/>
      <c r="P45" s="15"/>
      <c r="Q45" s="15"/>
      <c r="R45" s="16">
        <v>39037</v>
      </c>
      <c r="S45" s="17">
        <f t="shared" ca="1" si="1"/>
        <v>-3154</v>
      </c>
      <c r="T45" s="18" t="s">
        <v>48</v>
      </c>
    </row>
    <row r="46" spans="1:20" ht="15.95" customHeight="1" x14ac:dyDescent="0.2">
      <c r="A46" s="9" t="s">
        <v>294</v>
      </c>
      <c r="B46" s="10" t="s">
        <v>23</v>
      </c>
      <c r="C46" s="10" t="s">
        <v>56</v>
      </c>
      <c r="D46" s="11" t="s">
        <v>295</v>
      </c>
      <c r="E46" s="11" t="s">
        <v>296</v>
      </c>
      <c r="F46" s="10" t="s">
        <v>297</v>
      </c>
      <c r="G46" s="184" t="s">
        <v>557</v>
      </c>
      <c r="H46" s="63">
        <f t="shared" si="2"/>
        <v>40165</v>
      </c>
      <c r="I46" s="13">
        <v>40165</v>
      </c>
      <c r="J46" s="14" t="s">
        <v>404</v>
      </c>
      <c r="K46" s="15"/>
      <c r="L46" s="15"/>
      <c r="M46" s="15"/>
      <c r="N46" s="15"/>
      <c r="O46" s="15"/>
      <c r="P46" s="15"/>
      <c r="Q46" s="15"/>
      <c r="R46" s="16">
        <v>39435</v>
      </c>
      <c r="S46" s="17">
        <f t="shared" ca="1" si="1"/>
        <v>-2756</v>
      </c>
      <c r="T46" s="18" t="s">
        <v>48</v>
      </c>
    </row>
    <row r="47" spans="1:20" ht="15.95" customHeight="1" x14ac:dyDescent="0.2">
      <c r="A47" s="9" t="s">
        <v>164</v>
      </c>
      <c r="B47" s="20" t="s">
        <v>165</v>
      </c>
      <c r="C47" s="10" t="s">
        <v>37</v>
      </c>
      <c r="D47" s="11" t="s">
        <v>303</v>
      </c>
      <c r="E47" s="11" t="s">
        <v>167</v>
      </c>
      <c r="F47" s="10" t="s">
        <v>304</v>
      </c>
      <c r="G47" s="184" t="s">
        <v>558</v>
      </c>
      <c r="H47" s="63">
        <f t="shared" si="2"/>
        <v>40175</v>
      </c>
      <c r="I47" s="76">
        <v>40175</v>
      </c>
      <c r="J47" s="14" t="s">
        <v>524</v>
      </c>
      <c r="K47" s="15"/>
      <c r="L47" s="15"/>
      <c r="M47" s="15"/>
      <c r="N47" s="15"/>
      <c r="O47" s="15"/>
      <c r="P47" s="15"/>
      <c r="Q47" s="15"/>
      <c r="R47" s="16">
        <v>39080</v>
      </c>
      <c r="S47" s="17">
        <f t="shared" ca="1" si="1"/>
        <v>-3111</v>
      </c>
      <c r="T47" s="18" t="s">
        <v>169</v>
      </c>
    </row>
    <row r="48" spans="1:20" ht="15.95" customHeight="1" x14ac:dyDescent="0.2">
      <c r="A48" s="9" t="s">
        <v>299</v>
      </c>
      <c r="B48" s="10" t="s">
        <v>23</v>
      </c>
      <c r="C48" s="10" t="s">
        <v>61</v>
      </c>
      <c r="D48" s="11" t="s">
        <v>212</v>
      </c>
      <c r="E48" s="11" t="s">
        <v>300</v>
      </c>
      <c r="F48" s="10" t="s">
        <v>301</v>
      </c>
      <c r="G48" s="184" t="s">
        <v>559</v>
      </c>
      <c r="H48" s="63">
        <f t="shared" si="2"/>
        <v>40175</v>
      </c>
      <c r="I48" s="13">
        <v>40175</v>
      </c>
      <c r="J48" s="14" t="s">
        <v>405</v>
      </c>
      <c r="K48" s="15"/>
      <c r="L48" s="15"/>
      <c r="M48" s="15"/>
      <c r="N48" s="15"/>
      <c r="O48" s="15"/>
      <c r="P48" s="15"/>
      <c r="Q48" s="15"/>
      <c r="R48" s="16">
        <v>39444</v>
      </c>
      <c r="S48" s="17">
        <f t="shared" ca="1" si="1"/>
        <v>-2746</v>
      </c>
      <c r="T48" s="18" t="s">
        <v>48</v>
      </c>
    </row>
    <row r="49" spans="1:25" ht="15.95" customHeight="1" x14ac:dyDescent="0.2">
      <c r="A49" s="9" t="s">
        <v>170</v>
      </c>
      <c r="B49" s="10" t="s">
        <v>23</v>
      </c>
      <c r="C49" s="10" t="s">
        <v>61</v>
      </c>
      <c r="D49" s="11" t="s">
        <v>171</v>
      </c>
      <c r="E49" s="11" t="s">
        <v>172</v>
      </c>
      <c r="F49" s="10" t="s">
        <v>306</v>
      </c>
      <c r="G49" s="184" t="s">
        <v>307</v>
      </c>
      <c r="H49" s="63">
        <f t="shared" si="2"/>
        <v>40177</v>
      </c>
      <c r="I49" s="13">
        <v>40177</v>
      </c>
      <c r="J49" s="14" t="s">
        <v>406</v>
      </c>
      <c r="K49" s="15"/>
      <c r="L49" s="15"/>
      <c r="M49" s="15"/>
      <c r="N49" s="15"/>
      <c r="O49" s="15"/>
      <c r="P49" s="15"/>
      <c r="Q49" s="15"/>
      <c r="R49" s="16">
        <v>37985</v>
      </c>
      <c r="S49" s="17">
        <f t="shared" ca="1" si="1"/>
        <v>-4205</v>
      </c>
      <c r="T49" s="18" t="s">
        <v>54</v>
      </c>
    </row>
    <row r="50" spans="1:25" ht="15.95" customHeight="1" x14ac:dyDescent="0.2">
      <c r="A50" s="31" t="s">
        <v>377</v>
      </c>
      <c r="B50" s="33" t="s">
        <v>378</v>
      </c>
      <c r="C50" s="33" t="s">
        <v>226</v>
      </c>
      <c r="D50" s="34" t="s">
        <v>379</v>
      </c>
      <c r="E50" s="34" t="s">
        <v>380</v>
      </c>
      <c r="F50" s="33"/>
      <c r="G50" s="184" t="s">
        <v>381</v>
      </c>
      <c r="H50" s="69">
        <f t="shared" si="2"/>
        <v>40774</v>
      </c>
      <c r="I50" s="36">
        <v>40774</v>
      </c>
      <c r="J50" s="37" t="s">
        <v>527</v>
      </c>
      <c r="K50" s="38"/>
      <c r="L50" s="38"/>
      <c r="M50" s="38"/>
      <c r="N50" s="38"/>
      <c r="O50" s="38"/>
      <c r="P50" s="38"/>
      <c r="Q50" s="38"/>
      <c r="R50" s="39">
        <v>39680</v>
      </c>
      <c r="S50" s="17">
        <f t="shared" ca="1" si="1"/>
        <v>-2512</v>
      </c>
      <c r="T50" s="41" t="s">
        <v>41</v>
      </c>
    </row>
    <row r="51" spans="1:25" ht="15.95" customHeight="1" x14ac:dyDescent="0.2">
      <c r="A51" s="31" t="s">
        <v>408</v>
      </c>
      <c r="B51" s="33" t="s">
        <v>378</v>
      </c>
      <c r="C51" s="33" t="s">
        <v>226</v>
      </c>
      <c r="D51" s="34" t="s">
        <v>535</v>
      </c>
      <c r="E51" s="34" t="s">
        <v>410</v>
      </c>
      <c r="F51" s="33"/>
      <c r="G51" s="184" t="s">
        <v>530</v>
      </c>
      <c r="H51" s="69">
        <f t="shared" si="2"/>
        <v>40878</v>
      </c>
      <c r="I51" s="36">
        <v>40878</v>
      </c>
      <c r="J51" s="37" t="s">
        <v>411</v>
      </c>
      <c r="K51" s="38"/>
      <c r="L51" s="38"/>
      <c r="M51" s="38"/>
      <c r="N51" s="38"/>
      <c r="O51" s="38"/>
      <c r="P51" s="38"/>
      <c r="Q51" s="38"/>
      <c r="R51" s="39">
        <v>39783</v>
      </c>
      <c r="S51" s="17">
        <f t="shared" ca="1" si="1"/>
        <v>-2408</v>
      </c>
      <c r="T51" s="41" t="s">
        <v>41</v>
      </c>
    </row>
    <row r="52" spans="1:25" ht="15.95" customHeight="1" x14ac:dyDescent="0.2">
      <c r="A52" s="31" t="s">
        <v>383</v>
      </c>
      <c r="B52" s="33" t="s">
        <v>23</v>
      </c>
      <c r="C52" s="33" t="s">
        <v>372</v>
      </c>
      <c r="D52" s="34" t="s">
        <v>384</v>
      </c>
      <c r="E52" s="34" t="s">
        <v>385</v>
      </c>
      <c r="F52" s="33" t="s">
        <v>386</v>
      </c>
      <c r="G52" s="184" t="s">
        <v>531</v>
      </c>
      <c r="H52" s="69">
        <f t="shared" si="2"/>
        <v>41035</v>
      </c>
      <c r="I52" s="36">
        <v>41035</v>
      </c>
      <c r="J52" s="37" t="s">
        <v>526</v>
      </c>
      <c r="K52" s="38"/>
      <c r="L52" s="38"/>
      <c r="M52" s="38"/>
      <c r="N52" s="38"/>
      <c r="O52" s="38"/>
      <c r="P52" s="38"/>
      <c r="Q52" s="38"/>
      <c r="R52" s="39">
        <v>39209</v>
      </c>
      <c r="S52" s="17">
        <f t="shared" ca="1" si="1"/>
        <v>-2982</v>
      </c>
      <c r="T52" s="41" t="s">
        <v>96</v>
      </c>
    </row>
    <row r="53" spans="1:25" ht="15.95" customHeight="1" x14ac:dyDescent="0.2">
      <c r="A53" s="31" t="s">
        <v>412</v>
      </c>
      <c r="B53" s="33" t="s">
        <v>413</v>
      </c>
      <c r="C53" s="33" t="s">
        <v>226</v>
      </c>
      <c r="D53" s="34" t="s">
        <v>414</v>
      </c>
      <c r="E53" s="34" t="s">
        <v>415</v>
      </c>
      <c r="F53" s="33"/>
      <c r="G53" s="184" t="s">
        <v>532</v>
      </c>
      <c r="H53" s="69">
        <f t="shared" si="2"/>
        <v>41141</v>
      </c>
      <c r="I53" s="36">
        <v>41141</v>
      </c>
      <c r="J53" s="37" t="s">
        <v>529</v>
      </c>
      <c r="K53" s="38"/>
      <c r="L53" s="38"/>
      <c r="M53" s="38"/>
      <c r="N53" s="38"/>
      <c r="O53" s="38"/>
      <c r="P53" s="38"/>
      <c r="Q53" s="38"/>
      <c r="R53" s="39">
        <v>39680</v>
      </c>
      <c r="S53" s="17">
        <f t="shared" ca="1" si="1"/>
        <v>-2511</v>
      </c>
      <c r="T53" s="41" t="s">
        <v>41</v>
      </c>
    </row>
    <row r="54" spans="1:25" ht="15.95" customHeight="1" x14ac:dyDescent="0.2">
      <c r="A54" s="9" t="s">
        <v>215</v>
      </c>
      <c r="B54" s="10" t="s">
        <v>23</v>
      </c>
      <c r="C54" s="10" t="s">
        <v>24</v>
      </c>
      <c r="D54" s="11" t="s">
        <v>216</v>
      </c>
      <c r="E54" s="11" t="s">
        <v>217</v>
      </c>
      <c r="F54" s="10"/>
      <c r="G54" s="184" t="s">
        <v>533</v>
      </c>
      <c r="H54" s="63">
        <f t="shared" si="2"/>
        <v>41198</v>
      </c>
      <c r="I54" s="13">
        <v>41198</v>
      </c>
      <c r="J54" s="14" t="s">
        <v>525</v>
      </c>
      <c r="K54" s="15"/>
      <c r="L54" s="15"/>
      <c r="M54" s="15"/>
      <c r="N54" s="15"/>
      <c r="O54" s="15"/>
      <c r="P54" s="15"/>
      <c r="Q54" s="15"/>
      <c r="R54" s="16">
        <v>39737</v>
      </c>
      <c r="S54" s="17">
        <f t="shared" ca="1" si="1"/>
        <v>-2454</v>
      </c>
      <c r="T54" s="18" t="s">
        <v>169</v>
      </c>
    </row>
    <row r="55" spans="1:25" ht="15.95" customHeight="1" x14ac:dyDescent="0.2">
      <c r="A55" s="42" t="s">
        <v>230</v>
      </c>
      <c r="B55" s="43" t="s">
        <v>23</v>
      </c>
      <c r="C55" s="43" t="s">
        <v>61</v>
      </c>
      <c r="D55" s="44" t="s">
        <v>231</v>
      </c>
      <c r="E55" s="44" t="s">
        <v>232</v>
      </c>
      <c r="F55" s="43"/>
      <c r="G55" s="186" t="s">
        <v>538</v>
      </c>
      <c r="H55" s="72" t="s">
        <v>23</v>
      </c>
      <c r="I55" s="73" t="s">
        <v>233</v>
      </c>
      <c r="J55" s="47" t="s">
        <v>234</v>
      </c>
      <c r="K55" s="48"/>
      <c r="L55" s="48"/>
      <c r="M55" s="48"/>
      <c r="N55" s="48"/>
      <c r="O55" s="48"/>
      <c r="P55" s="48"/>
      <c r="Q55" s="48"/>
      <c r="R55" s="49">
        <v>37043</v>
      </c>
      <c r="S55" s="50" t="s">
        <v>314</v>
      </c>
      <c r="T55" s="51" t="s">
        <v>54</v>
      </c>
    </row>
    <row r="56" spans="1:25" ht="11.85" customHeight="1" x14ac:dyDescent="0.2">
      <c r="A56" s="52"/>
      <c r="B56" s="52"/>
      <c r="C56" s="52"/>
      <c r="E56" s="52"/>
      <c r="I56" s="74"/>
    </row>
    <row r="57" spans="1:25" ht="12.6" customHeight="1" x14ac:dyDescent="0.2">
      <c r="A57" s="52"/>
      <c r="B57" s="52"/>
      <c r="C57" s="52"/>
      <c r="D57" s="53" t="s">
        <v>235</v>
      </c>
      <c r="E57" s="54" t="s">
        <v>564</v>
      </c>
      <c r="G57" s="188" t="s">
        <v>390</v>
      </c>
      <c r="H57" s="75"/>
      <c r="I57" s="74"/>
      <c r="R57" s="927"/>
      <c r="S57" s="927"/>
      <c r="T57" s="927"/>
      <c r="U57" s="927"/>
      <c r="V57" s="927"/>
      <c r="W57" s="927"/>
      <c r="X57" s="927"/>
      <c r="Y57" s="927"/>
    </row>
    <row r="58" spans="1:25" ht="11.85" customHeight="1" x14ac:dyDescent="0.2">
      <c r="A58" s="52"/>
      <c r="B58" s="52"/>
      <c r="C58" s="52"/>
      <c r="D58" s="53" t="s">
        <v>236</v>
      </c>
      <c r="E58" s="54" t="s">
        <v>565</v>
      </c>
      <c r="G58" s="188" t="s">
        <v>568</v>
      </c>
      <c r="I58" s="74"/>
    </row>
    <row r="59" spans="1:25" ht="11.85" customHeight="1" x14ac:dyDescent="0.2">
      <c r="A59" s="52"/>
      <c r="B59" s="52"/>
      <c r="C59" s="52"/>
      <c r="D59" s="53" t="s">
        <v>237</v>
      </c>
      <c r="E59" s="54" t="s">
        <v>566</v>
      </c>
      <c r="G59" s="188" t="s">
        <v>567</v>
      </c>
      <c r="I59" s="74"/>
    </row>
    <row r="60" spans="1:25" ht="11.85" customHeight="1" x14ac:dyDescent="0.2">
      <c r="D60" s="53" t="s">
        <v>238</v>
      </c>
      <c r="E60" s="54"/>
    </row>
    <row r="61" spans="1:25" ht="11.85" customHeight="1" x14ac:dyDescent="0.2"/>
  </sheetData>
  <mergeCells count="18">
    <mergeCell ref="H9:H10"/>
    <mergeCell ref="R57:Y57"/>
    <mergeCell ref="I9:I10"/>
    <mergeCell ref="J9:J10"/>
    <mergeCell ref="K9:K10"/>
    <mergeCell ref="L9:P9"/>
    <mergeCell ref="Q9:Q10"/>
    <mergeCell ref="T9:T10"/>
    <mergeCell ref="J6:T6"/>
    <mergeCell ref="J7:T7"/>
    <mergeCell ref="A8:T8"/>
    <mergeCell ref="A9:A10"/>
    <mergeCell ref="B9:B10"/>
    <mergeCell ref="C9:C10"/>
    <mergeCell ref="D9:D10"/>
    <mergeCell ref="E9:E10"/>
    <mergeCell ref="F9:F10"/>
    <mergeCell ref="G9:G10"/>
  </mergeCells>
  <phoneticPr fontId="2" type="noConversion"/>
  <printOptions horizontalCentered="1" verticalCentered="1"/>
  <pageMargins left="0.19685039370078741" right="0.19685039370078741" top="0.19685039370078741" bottom="0.19685039370078741" header="0.51181102362204722" footer="0.51181102362204722"/>
  <pageSetup paperSize="9" scale="75" firstPageNumber="0" orientation="landscape" horizontalDpi="300" verticalDpi="300"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5"/>
  <sheetViews>
    <sheetView zoomScale="118" zoomScaleNormal="118" workbookViewId="0">
      <pane ySplit="10" topLeftCell="A11" activePane="bottomLeft" state="frozen"/>
      <selection activeCell="F1" sqref="F1"/>
      <selection pane="bottomLeft" activeCell="D14" sqref="D14"/>
    </sheetView>
  </sheetViews>
  <sheetFormatPr defaultRowHeight="14.1" customHeight="1" x14ac:dyDescent="0.2"/>
  <cols>
    <col min="1" max="1" width="9.28515625" style="1" customWidth="1"/>
    <col min="2" max="2" width="10.85546875" style="1" customWidth="1"/>
    <col min="3" max="3" width="14" style="1" customWidth="1"/>
    <col min="4" max="4" width="51.85546875" style="1" customWidth="1"/>
    <col min="5" max="5" width="60.28515625" style="1" customWidth="1"/>
    <col min="6" max="6" width="13.7109375" style="2" customWidth="1"/>
    <col min="7" max="7" width="8.5703125" style="2" customWidth="1"/>
    <col min="8" max="8" width="10.5703125" style="1" customWidth="1"/>
    <col min="9" max="9" width="28.5703125" style="2" customWidth="1"/>
    <col min="10" max="16" width="9" style="1" customWidth="1"/>
    <col min="17" max="17" width="16.7109375" style="1" customWidth="1"/>
    <col min="18" max="18" width="11.42578125" style="1" customWidth="1"/>
    <col min="19" max="19" width="8.85546875" style="1" customWidth="1"/>
    <col min="20" max="16384" width="9.140625" style="1"/>
  </cols>
  <sheetData>
    <row r="1" spans="1:19" ht="11.1" customHeight="1" x14ac:dyDescent="0.2"/>
    <row r="2" spans="1:19" ht="11.1" customHeight="1" x14ac:dyDescent="0.2"/>
    <row r="3" spans="1:19" ht="11.1" customHeight="1" x14ac:dyDescent="0.2"/>
    <row r="4" spans="1:19" ht="11.1" customHeight="1" x14ac:dyDescent="0.2"/>
    <row r="5" spans="1:19" ht="11.1" customHeight="1" x14ac:dyDescent="0.2"/>
    <row r="6" spans="1:19" ht="15.6" customHeight="1" x14ac:dyDescent="0.2">
      <c r="Q6" s="3" t="s">
        <v>0</v>
      </c>
      <c r="R6" s="3"/>
    </row>
    <row r="7" spans="1:19" ht="12.6" customHeight="1" x14ac:dyDescent="0.2">
      <c r="Q7" s="4">
        <f ca="1">TODAY()</f>
        <v>44382</v>
      </c>
      <c r="R7" s="4"/>
    </row>
    <row r="8" spans="1:19" ht="16.350000000000001" customHeight="1" x14ac:dyDescent="0.25">
      <c r="A8" s="929" t="s">
        <v>1</v>
      </c>
      <c r="B8" s="929"/>
      <c r="C8" s="929"/>
      <c r="D8" s="929"/>
      <c r="E8" s="929"/>
      <c r="F8" s="929"/>
      <c r="G8" s="929"/>
      <c r="H8" s="929"/>
      <c r="I8" s="929"/>
      <c r="J8" s="929"/>
      <c r="K8" s="929"/>
      <c r="L8" s="929"/>
      <c r="M8" s="929"/>
      <c r="N8" s="929"/>
      <c r="O8" s="929"/>
      <c r="P8" s="929"/>
      <c r="Q8" s="929"/>
      <c r="R8" s="929"/>
      <c r="S8" s="929"/>
    </row>
    <row r="9" spans="1:19" s="6" customFormat="1" ht="13.9" customHeight="1" x14ac:dyDescent="0.2">
      <c r="A9" s="930" t="s">
        <v>2</v>
      </c>
      <c r="B9" s="928" t="s">
        <v>3</v>
      </c>
      <c r="C9" s="928" t="s">
        <v>4</v>
      </c>
      <c r="D9" s="928" t="s">
        <v>5</v>
      </c>
      <c r="E9" s="928" t="s">
        <v>6</v>
      </c>
      <c r="F9" s="928" t="s">
        <v>7</v>
      </c>
      <c r="G9" s="933" t="s">
        <v>241</v>
      </c>
      <c r="H9" s="928" t="s">
        <v>8</v>
      </c>
      <c r="I9" s="928" t="s">
        <v>9</v>
      </c>
      <c r="J9" s="928" t="s">
        <v>10</v>
      </c>
      <c r="K9" s="931" t="s">
        <v>11</v>
      </c>
      <c r="L9" s="931"/>
      <c r="M9" s="931"/>
      <c r="N9" s="931"/>
      <c r="O9" s="931"/>
      <c r="P9" s="928" t="s">
        <v>12</v>
      </c>
      <c r="Q9" s="925" t="s">
        <v>13</v>
      </c>
      <c r="R9" s="5" t="s">
        <v>14</v>
      </c>
      <c r="S9" s="926" t="s">
        <v>15</v>
      </c>
    </row>
    <row r="10" spans="1:19" s="6" customFormat="1" ht="13.9" customHeight="1" x14ac:dyDescent="0.2">
      <c r="A10" s="930"/>
      <c r="B10" s="928"/>
      <c r="C10" s="928"/>
      <c r="D10" s="928"/>
      <c r="E10" s="928"/>
      <c r="F10" s="928"/>
      <c r="G10" s="933"/>
      <c r="H10" s="928"/>
      <c r="I10" s="928"/>
      <c r="J10" s="928"/>
      <c r="K10" s="7" t="s">
        <v>16</v>
      </c>
      <c r="L10" s="7" t="s">
        <v>17</v>
      </c>
      <c r="M10" s="7" t="s">
        <v>18</v>
      </c>
      <c r="N10" s="7" t="s">
        <v>19</v>
      </c>
      <c r="O10" s="7" t="s">
        <v>20</v>
      </c>
      <c r="P10" s="928"/>
      <c r="Q10" s="925"/>
      <c r="R10" s="8" t="s">
        <v>244</v>
      </c>
      <c r="S10" s="926"/>
    </row>
    <row r="11" spans="1:19" ht="15.95" customHeight="1" x14ac:dyDescent="0.2">
      <c r="A11" s="9" t="s">
        <v>30</v>
      </c>
      <c r="B11" s="10" t="s">
        <v>23</v>
      </c>
      <c r="C11" s="10" t="s">
        <v>24</v>
      </c>
      <c r="D11" s="11" t="s">
        <v>495</v>
      </c>
      <c r="E11" s="11" t="s">
        <v>261</v>
      </c>
      <c r="F11" s="12" t="s">
        <v>32</v>
      </c>
      <c r="G11" s="63">
        <f t="shared" ref="G11:G57" ca="1" si="0">H11-$Q$7</f>
        <v>-5210</v>
      </c>
      <c r="H11" s="13">
        <v>39172</v>
      </c>
      <c r="I11" s="14" t="s">
        <v>33</v>
      </c>
      <c r="J11" s="15"/>
      <c r="K11" s="15"/>
      <c r="L11" s="15"/>
      <c r="M11" s="15"/>
      <c r="N11" s="15"/>
      <c r="O11" s="15"/>
      <c r="P11" s="15"/>
      <c r="Q11" s="16">
        <v>37346</v>
      </c>
      <c r="R11" s="17" t="str">
        <f t="shared" ref="R11:R56" ca="1" si="1">IF(AND(C11&lt;&gt;"DISPENSADA",C11&lt;&gt;"DISPENSÁVEL",C11&lt;&gt;"INEXIGÍVEL"),DATE(YEAR(Q11)+6,MONTH(Q11),DAY(Q11))-TODAY(),"------")</f>
        <v>------</v>
      </c>
      <c r="S11" s="18" t="s">
        <v>34</v>
      </c>
    </row>
    <row r="12" spans="1:19" ht="15.95" customHeight="1" x14ac:dyDescent="0.2">
      <c r="A12" s="9" t="s">
        <v>77</v>
      </c>
      <c r="B12" s="10" t="s">
        <v>23</v>
      </c>
      <c r="C12" s="10" t="s">
        <v>24</v>
      </c>
      <c r="D12" s="179" t="s">
        <v>496</v>
      </c>
      <c r="E12" s="11" t="s">
        <v>79</v>
      </c>
      <c r="F12" s="12" t="s">
        <v>80</v>
      </c>
      <c r="G12" s="63">
        <f t="shared" ca="1" si="0"/>
        <v>-5117</v>
      </c>
      <c r="H12" s="13">
        <v>39265</v>
      </c>
      <c r="I12" s="14" t="s">
        <v>81</v>
      </c>
      <c r="J12" s="15"/>
      <c r="K12" s="15"/>
      <c r="L12" s="15"/>
      <c r="M12" s="15"/>
      <c r="N12" s="15"/>
      <c r="O12" s="15"/>
      <c r="P12" s="15"/>
      <c r="Q12" s="16">
        <v>38930</v>
      </c>
      <c r="R12" s="17" t="str">
        <f t="shared" ca="1" si="1"/>
        <v>------</v>
      </c>
      <c r="S12" s="18" t="s">
        <v>34</v>
      </c>
    </row>
    <row r="13" spans="1:19" ht="15.95" customHeight="1" x14ac:dyDescent="0.2">
      <c r="A13" s="9" t="s">
        <v>106</v>
      </c>
      <c r="B13" s="20" t="s">
        <v>107</v>
      </c>
      <c r="C13" s="10" t="s">
        <v>37</v>
      </c>
      <c r="D13" s="11" t="s">
        <v>108</v>
      </c>
      <c r="E13" s="11" t="s">
        <v>109</v>
      </c>
      <c r="F13" s="180" t="s">
        <v>110</v>
      </c>
      <c r="G13" s="63">
        <f t="shared" ca="1" si="0"/>
        <v>-5026</v>
      </c>
      <c r="H13" s="13">
        <v>39356</v>
      </c>
      <c r="I13" s="14" t="s">
        <v>111</v>
      </c>
      <c r="J13" s="15"/>
      <c r="K13" s="15"/>
      <c r="L13" s="15"/>
      <c r="M13" s="15"/>
      <c r="N13" s="15"/>
      <c r="O13" s="15"/>
      <c r="P13" s="15"/>
      <c r="Q13" s="16">
        <v>37165</v>
      </c>
      <c r="R13" s="17">
        <f t="shared" ca="1" si="1"/>
        <v>-5026</v>
      </c>
      <c r="S13" s="18" t="s">
        <v>48</v>
      </c>
    </row>
    <row r="14" spans="1:19" ht="15.95" customHeight="1" x14ac:dyDescent="0.2">
      <c r="A14" s="9" t="s">
        <v>119</v>
      </c>
      <c r="B14" s="10" t="s">
        <v>23</v>
      </c>
      <c r="C14" s="10" t="s">
        <v>61</v>
      </c>
      <c r="D14" s="11" t="s">
        <v>120</v>
      </c>
      <c r="E14" s="11" t="s">
        <v>121</v>
      </c>
      <c r="F14" s="180" t="s">
        <v>122</v>
      </c>
      <c r="G14" s="63">
        <f t="shared" ca="1" si="0"/>
        <v>-5001</v>
      </c>
      <c r="H14" s="13">
        <v>39381</v>
      </c>
      <c r="I14" s="14" t="s">
        <v>123</v>
      </c>
      <c r="J14" s="15"/>
      <c r="K14" s="15"/>
      <c r="L14" s="15"/>
      <c r="M14" s="15"/>
      <c r="N14" s="15"/>
      <c r="O14" s="15"/>
      <c r="P14" s="15"/>
      <c r="Q14" s="16">
        <v>38652</v>
      </c>
      <c r="R14" s="17" t="str">
        <f t="shared" ca="1" si="1"/>
        <v>------</v>
      </c>
      <c r="S14" s="18" t="s">
        <v>96</v>
      </c>
    </row>
    <row r="15" spans="1:19" ht="15.95" customHeight="1" x14ac:dyDescent="0.2">
      <c r="A15" s="9" t="s">
        <v>128</v>
      </c>
      <c r="B15" s="20" t="s">
        <v>129</v>
      </c>
      <c r="C15" s="10" t="s">
        <v>130</v>
      </c>
      <c r="D15" s="179" t="s">
        <v>131</v>
      </c>
      <c r="E15" s="11" t="s">
        <v>132</v>
      </c>
      <c r="F15" s="180" t="s">
        <v>133</v>
      </c>
      <c r="G15" s="63">
        <f t="shared" ca="1" si="0"/>
        <v>-4996</v>
      </c>
      <c r="H15" s="13">
        <v>39386</v>
      </c>
      <c r="I15" s="14" t="s">
        <v>134</v>
      </c>
      <c r="J15" s="15"/>
      <c r="K15" s="15"/>
      <c r="L15" s="15"/>
      <c r="M15" s="15"/>
      <c r="N15" s="15"/>
      <c r="O15" s="15"/>
      <c r="P15" s="15"/>
      <c r="Q15" s="16">
        <v>37560</v>
      </c>
      <c r="R15" s="17">
        <f t="shared" ca="1" si="1"/>
        <v>-4630</v>
      </c>
      <c r="S15" s="18" t="s">
        <v>29</v>
      </c>
    </row>
    <row r="16" spans="1:19" ht="15.95" customHeight="1" x14ac:dyDescent="0.2">
      <c r="A16" s="9" t="s">
        <v>135</v>
      </c>
      <c r="B16" s="20" t="s">
        <v>129</v>
      </c>
      <c r="C16" s="10" t="s">
        <v>130</v>
      </c>
      <c r="D16" s="179" t="s">
        <v>136</v>
      </c>
      <c r="E16" s="11" t="s">
        <v>132</v>
      </c>
      <c r="F16" s="180" t="s">
        <v>133</v>
      </c>
      <c r="G16" s="63">
        <f t="shared" ca="1" si="0"/>
        <v>-4984</v>
      </c>
      <c r="H16" s="13">
        <v>39398</v>
      </c>
      <c r="I16" s="14" t="s">
        <v>134</v>
      </c>
      <c r="J16" s="15"/>
      <c r="K16" s="15"/>
      <c r="L16" s="15"/>
      <c r="M16" s="15"/>
      <c r="N16" s="15"/>
      <c r="O16" s="15"/>
      <c r="P16" s="15"/>
      <c r="Q16" s="16">
        <v>37572</v>
      </c>
      <c r="R16" s="17">
        <f t="shared" ca="1" si="1"/>
        <v>-4618</v>
      </c>
      <c r="S16" s="18" t="s">
        <v>29</v>
      </c>
    </row>
    <row r="17" spans="1:19" ht="15.95" customHeight="1" x14ac:dyDescent="0.2">
      <c r="A17" s="9" t="s">
        <v>146</v>
      </c>
      <c r="B17" s="20" t="s">
        <v>147</v>
      </c>
      <c r="C17" s="10" t="s">
        <v>37</v>
      </c>
      <c r="D17" s="11" t="s">
        <v>148</v>
      </c>
      <c r="E17" s="11" t="s">
        <v>497</v>
      </c>
      <c r="F17" s="180" t="s">
        <v>133</v>
      </c>
      <c r="G17" s="63">
        <f t="shared" ca="1" si="0"/>
        <v>-4965</v>
      </c>
      <c r="H17" s="13">
        <v>39417</v>
      </c>
      <c r="I17" s="14" t="s">
        <v>150</v>
      </c>
      <c r="J17" s="15"/>
      <c r="K17" s="15"/>
      <c r="L17" s="15"/>
      <c r="M17" s="15"/>
      <c r="N17" s="15"/>
      <c r="O17" s="15"/>
      <c r="P17" s="15"/>
      <c r="Q17" s="16">
        <v>37591</v>
      </c>
      <c r="R17" s="17">
        <f t="shared" ca="1" si="1"/>
        <v>-4599</v>
      </c>
      <c r="S17" s="18" t="s">
        <v>96</v>
      </c>
    </row>
    <row r="18" spans="1:19" ht="15.95" customHeight="1" x14ac:dyDescent="0.2">
      <c r="A18" s="9" t="s">
        <v>155</v>
      </c>
      <c r="B18" s="10" t="s">
        <v>23</v>
      </c>
      <c r="C18" s="10" t="s">
        <v>61</v>
      </c>
      <c r="D18" s="11" t="s">
        <v>156</v>
      </c>
      <c r="E18" s="11" t="s">
        <v>157</v>
      </c>
      <c r="F18" s="180">
        <f>56.52*12</f>
        <v>678.24</v>
      </c>
      <c r="G18" s="63">
        <f t="shared" ca="1" si="0"/>
        <v>-4950</v>
      </c>
      <c r="H18" s="13">
        <v>39432</v>
      </c>
      <c r="I18" s="14" t="s">
        <v>150</v>
      </c>
      <c r="J18" s="15"/>
      <c r="K18" s="15"/>
      <c r="L18" s="15"/>
      <c r="M18" s="15"/>
      <c r="N18" s="15"/>
      <c r="O18" s="15"/>
      <c r="P18" s="15"/>
      <c r="Q18" s="16">
        <v>38338</v>
      </c>
      <c r="R18" s="17" t="str">
        <f t="shared" ca="1" si="1"/>
        <v>------</v>
      </c>
      <c r="S18" s="18" t="s">
        <v>158</v>
      </c>
    </row>
    <row r="19" spans="1:19" ht="15.95" customHeight="1" x14ac:dyDescent="0.2">
      <c r="A19" s="9" t="s">
        <v>159</v>
      </c>
      <c r="B19" s="20" t="s">
        <v>160</v>
      </c>
      <c r="C19" s="10" t="s">
        <v>37</v>
      </c>
      <c r="D19" s="11" t="s">
        <v>161</v>
      </c>
      <c r="E19" s="11" t="s">
        <v>162</v>
      </c>
      <c r="F19" s="180">
        <v>31000</v>
      </c>
      <c r="G19" s="63">
        <f t="shared" ca="1" si="0"/>
        <v>-4940</v>
      </c>
      <c r="H19" s="13">
        <v>39442</v>
      </c>
      <c r="I19" s="14" t="s">
        <v>163</v>
      </c>
      <c r="J19" s="15"/>
      <c r="K19" s="15"/>
      <c r="L19" s="15"/>
      <c r="M19" s="15"/>
      <c r="N19" s="15"/>
      <c r="O19" s="15"/>
      <c r="P19" s="15"/>
      <c r="Q19" s="16">
        <v>39078</v>
      </c>
      <c r="R19" s="17">
        <f t="shared" ca="1" si="1"/>
        <v>-3112</v>
      </c>
      <c r="S19" s="18" t="s">
        <v>41</v>
      </c>
    </row>
    <row r="20" spans="1:19" ht="15.95" customHeight="1" x14ac:dyDescent="0.2">
      <c r="A20" s="29" t="s">
        <v>164</v>
      </c>
      <c r="B20" s="20" t="s">
        <v>165</v>
      </c>
      <c r="C20" s="10" t="s">
        <v>37</v>
      </c>
      <c r="D20" s="11" t="s">
        <v>166</v>
      </c>
      <c r="E20" s="11" t="s">
        <v>167</v>
      </c>
      <c r="F20" s="180">
        <v>30000</v>
      </c>
      <c r="G20" s="63">
        <f t="shared" ca="1" si="0"/>
        <v>-4938</v>
      </c>
      <c r="H20" s="13">
        <v>39444</v>
      </c>
      <c r="I20" s="14" t="s">
        <v>168</v>
      </c>
      <c r="J20" s="15"/>
      <c r="K20" s="15"/>
      <c r="L20" s="15"/>
      <c r="M20" s="15"/>
      <c r="N20" s="15"/>
      <c r="O20" s="15"/>
      <c r="P20" s="15"/>
      <c r="Q20" s="16">
        <v>39080</v>
      </c>
      <c r="R20" s="17">
        <f t="shared" ca="1" si="1"/>
        <v>-3110</v>
      </c>
      <c r="S20" s="18" t="s">
        <v>169</v>
      </c>
    </row>
    <row r="21" spans="1:19" ht="15.95" customHeight="1" x14ac:dyDescent="0.2">
      <c r="A21" s="9" t="s">
        <v>137</v>
      </c>
      <c r="B21" s="10" t="s">
        <v>23</v>
      </c>
      <c r="C21" s="10" t="s">
        <v>56</v>
      </c>
      <c r="D21" s="11" t="s">
        <v>180</v>
      </c>
      <c r="E21" s="11" t="s">
        <v>181</v>
      </c>
      <c r="F21" s="180" t="s">
        <v>182</v>
      </c>
      <c r="G21" s="63">
        <f t="shared" ca="1" si="0"/>
        <v>-4932</v>
      </c>
      <c r="H21" s="13">
        <v>39450</v>
      </c>
      <c r="I21" s="14" t="s">
        <v>183</v>
      </c>
      <c r="J21" s="15"/>
      <c r="K21" s="15"/>
      <c r="L21" s="15"/>
      <c r="M21" s="15"/>
      <c r="N21" s="15"/>
      <c r="O21" s="15"/>
      <c r="P21" s="15"/>
      <c r="Q21" s="16">
        <v>39086</v>
      </c>
      <c r="R21" s="17" t="str">
        <f t="shared" ca="1" si="1"/>
        <v>------</v>
      </c>
      <c r="S21" s="18" t="s">
        <v>48</v>
      </c>
    </row>
    <row r="22" spans="1:19" ht="15.95" customHeight="1" x14ac:dyDescent="0.2">
      <c r="A22" s="9" t="s">
        <v>189</v>
      </c>
      <c r="B22" s="10" t="s">
        <v>23</v>
      </c>
      <c r="C22" s="10" t="s">
        <v>61</v>
      </c>
      <c r="D22" s="11" t="s">
        <v>190</v>
      </c>
      <c r="E22" s="11" t="s">
        <v>191</v>
      </c>
      <c r="F22" s="180">
        <v>1959.48</v>
      </c>
      <c r="G22" s="63">
        <f t="shared" ca="1" si="0"/>
        <v>-4902</v>
      </c>
      <c r="H22" s="13">
        <v>39480</v>
      </c>
      <c r="I22" s="14" t="s">
        <v>192</v>
      </c>
      <c r="J22" s="15"/>
      <c r="K22" s="15"/>
      <c r="L22" s="15"/>
      <c r="M22" s="15"/>
      <c r="N22" s="15"/>
      <c r="O22" s="15"/>
      <c r="P22" s="15"/>
      <c r="Q22" s="16">
        <v>38385</v>
      </c>
      <c r="R22" s="17" t="str">
        <f t="shared" ca="1" si="1"/>
        <v>------</v>
      </c>
      <c r="S22" s="18" t="s">
        <v>48</v>
      </c>
    </row>
    <row r="23" spans="1:19" ht="15.95" customHeight="1" x14ac:dyDescent="0.2">
      <c r="A23" s="9" t="s">
        <v>193</v>
      </c>
      <c r="B23" s="10" t="s">
        <v>23</v>
      </c>
      <c r="C23" s="10" t="s">
        <v>56</v>
      </c>
      <c r="D23" s="11" t="s">
        <v>194</v>
      </c>
      <c r="E23" s="11" t="s">
        <v>195</v>
      </c>
      <c r="F23" s="180">
        <v>15600</v>
      </c>
      <c r="G23" s="63">
        <f t="shared" ca="1" si="0"/>
        <v>-4893</v>
      </c>
      <c r="H23" s="13">
        <v>39489</v>
      </c>
      <c r="I23" s="14" t="s">
        <v>196</v>
      </c>
      <c r="J23" s="15"/>
      <c r="K23" s="15"/>
      <c r="L23" s="15"/>
      <c r="M23" s="15"/>
      <c r="N23" s="15"/>
      <c r="O23" s="15"/>
      <c r="P23" s="15"/>
      <c r="Q23" s="16">
        <v>39125</v>
      </c>
      <c r="R23" s="17" t="str">
        <f t="shared" ca="1" si="1"/>
        <v>------</v>
      </c>
      <c r="S23" s="18" t="s">
        <v>48</v>
      </c>
    </row>
    <row r="24" spans="1:19" ht="15.95" customHeight="1" x14ac:dyDescent="0.2">
      <c r="A24" s="9" t="s">
        <v>197</v>
      </c>
      <c r="B24" s="10" t="s">
        <v>23</v>
      </c>
      <c r="C24" s="10" t="s">
        <v>56</v>
      </c>
      <c r="D24" s="11" t="s">
        <v>198</v>
      </c>
      <c r="E24" s="11" t="s">
        <v>337</v>
      </c>
      <c r="F24" s="180" t="s">
        <v>498</v>
      </c>
      <c r="G24" s="63">
        <f t="shared" ca="1" si="0"/>
        <v>-4876</v>
      </c>
      <c r="H24" s="13">
        <v>39506</v>
      </c>
      <c r="I24" s="14" t="s">
        <v>472</v>
      </c>
      <c r="J24" s="15"/>
      <c r="K24" s="15"/>
      <c r="L24" s="15"/>
      <c r="M24" s="15"/>
      <c r="N24" s="15"/>
      <c r="O24" s="15"/>
      <c r="P24" s="15"/>
      <c r="Q24" s="16">
        <v>38412</v>
      </c>
      <c r="R24" s="17" t="str">
        <f t="shared" ca="1" si="1"/>
        <v>------</v>
      </c>
      <c r="S24" s="18" t="s">
        <v>201</v>
      </c>
    </row>
    <row r="25" spans="1:19" ht="15.95" customHeight="1" x14ac:dyDescent="0.2">
      <c r="A25" s="9" t="s">
        <v>202</v>
      </c>
      <c r="B25" s="10" t="s">
        <v>23</v>
      </c>
      <c r="C25" s="10" t="s">
        <v>56</v>
      </c>
      <c r="D25" s="11" t="s">
        <v>340</v>
      </c>
      <c r="E25" s="11" t="s">
        <v>204</v>
      </c>
      <c r="F25" s="180">
        <v>7704</v>
      </c>
      <c r="G25" s="63">
        <f t="shared" ca="1" si="0"/>
        <v>-4866</v>
      </c>
      <c r="H25" s="13">
        <v>39516</v>
      </c>
      <c r="I25" s="14" t="s">
        <v>473</v>
      </c>
      <c r="J25" s="15"/>
      <c r="K25" s="15"/>
      <c r="L25" s="15"/>
      <c r="M25" s="15"/>
      <c r="N25" s="15"/>
      <c r="O25" s="15"/>
      <c r="P25" s="15"/>
      <c r="Q25" s="16">
        <v>37711</v>
      </c>
      <c r="R25" s="17" t="str">
        <f t="shared" ca="1" si="1"/>
        <v>------</v>
      </c>
      <c r="S25" s="18" t="s">
        <v>96</v>
      </c>
    </row>
    <row r="26" spans="1:19" ht="15.95" customHeight="1" x14ac:dyDescent="0.2">
      <c r="A26" s="9" t="s">
        <v>206</v>
      </c>
      <c r="B26" s="10" t="s">
        <v>23</v>
      </c>
      <c r="C26" s="10" t="s">
        <v>56</v>
      </c>
      <c r="D26" s="11" t="s">
        <v>207</v>
      </c>
      <c r="E26" s="11" t="s">
        <v>208</v>
      </c>
      <c r="F26" s="180" t="s">
        <v>209</v>
      </c>
      <c r="G26" s="63">
        <f t="shared" ca="1" si="0"/>
        <v>-4859</v>
      </c>
      <c r="H26" s="13">
        <v>39523</v>
      </c>
      <c r="I26" s="14" t="s">
        <v>210</v>
      </c>
      <c r="J26" s="15"/>
      <c r="K26" s="15"/>
      <c r="L26" s="15"/>
      <c r="M26" s="15"/>
      <c r="N26" s="15"/>
      <c r="O26" s="15"/>
      <c r="P26" s="15"/>
      <c r="Q26" s="16">
        <v>38062</v>
      </c>
      <c r="R26" s="17" t="str">
        <f t="shared" ca="1" si="1"/>
        <v>------</v>
      </c>
      <c r="S26" s="18" t="s">
        <v>48</v>
      </c>
    </row>
    <row r="27" spans="1:19" ht="15.95" customHeight="1" x14ac:dyDescent="0.2">
      <c r="A27" s="9" t="s">
        <v>211</v>
      </c>
      <c r="B27" s="10" t="s">
        <v>23</v>
      </c>
      <c r="C27" s="10" t="s">
        <v>56</v>
      </c>
      <c r="D27" s="11" t="s">
        <v>212</v>
      </c>
      <c r="E27" s="11" t="s">
        <v>213</v>
      </c>
      <c r="F27" s="180">
        <v>1987.68</v>
      </c>
      <c r="G27" s="63">
        <f t="shared" ca="1" si="0"/>
        <v>-4857</v>
      </c>
      <c r="H27" s="13">
        <v>39525</v>
      </c>
      <c r="I27" s="14" t="s">
        <v>214</v>
      </c>
      <c r="J27" s="15"/>
      <c r="K27" s="15"/>
      <c r="L27" s="15"/>
      <c r="M27" s="15"/>
      <c r="N27" s="15"/>
      <c r="O27" s="15"/>
      <c r="P27" s="15"/>
      <c r="Q27" s="16">
        <v>37700</v>
      </c>
      <c r="R27" s="17" t="str">
        <f t="shared" ca="1" si="1"/>
        <v>------</v>
      </c>
      <c r="S27" s="18" t="s">
        <v>48</v>
      </c>
    </row>
    <row r="28" spans="1:19" ht="15.95" customHeight="1" x14ac:dyDescent="0.2">
      <c r="A28" s="31" t="s">
        <v>499</v>
      </c>
      <c r="B28" s="32" t="s">
        <v>251</v>
      </c>
      <c r="C28" s="33" t="s">
        <v>37</v>
      </c>
      <c r="D28" s="34" t="s">
        <v>287</v>
      </c>
      <c r="E28" s="34" t="s">
        <v>288</v>
      </c>
      <c r="F28" s="181" t="s">
        <v>475</v>
      </c>
      <c r="G28" s="69">
        <f t="shared" ca="1" si="0"/>
        <v>-4839</v>
      </c>
      <c r="H28" s="36">
        <v>39543</v>
      </c>
      <c r="I28" s="37" t="s">
        <v>476</v>
      </c>
      <c r="J28" s="38"/>
      <c r="K28" s="38"/>
      <c r="L28" s="38"/>
      <c r="M28" s="38"/>
      <c r="N28" s="38"/>
      <c r="O28" s="38"/>
      <c r="P28" s="38"/>
      <c r="Q28" s="39">
        <v>39300</v>
      </c>
      <c r="R28" s="40">
        <f t="shared" ca="1" si="1"/>
        <v>-2890</v>
      </c>
      <c r="S28" s="41" t="s">
        <v>201</v>
      </c>
    </row>
    <row r="29" spans="1:19" ht="15.95" customHeight="1" x14ac:dyDescent="0.2">
      <c r="A29" s="9" t="s">
        <v>35</v>
      </c>
      <c r="B29" s="19" t="s">
        <v>36</v>
      </c>
      <c r="C29" s="10" t="s">
        <v>37</v>
      </c>
      <c r="D29" s="11" t="s">
        <v>38</v>
      </c>
      <c r="E29" s="11" t="s">
        <v>39</v>
      </c>
      <c r="F29" s="180">
        <v>91290</v>
      </c>
      <c r="G29" s="63">
        <f t="shared" ca="1" si="0"/>
        <v>-4838</v>
      </c>
      <c r="H29" s="13">
        <v>39544</v>
      </c>
      <c r="I29" s="14" t="s">
        <v>477</v>
      </c>
      <c r="J29" s="15"/>
      <c r="K29" s="15"/>
      <c r="L29" s="15"/>
      <c r="M29" s="15"/>
      <c r="N29" s="15"/>
      <c r="O29" s="15"/>
      <c r="P29" s="15"/>
      <c r="Q29" s="16">
        <v>38084</v>
      </c>
      <c r="R29" s="17">
        <f t="shared" ca="1" si="1"/>
        <v>-4107</v>
      </c>
      <c r="S29" s="18" t="s">
        <v>41</v>
      </c>
    </row>
    <row r="30" spans="1:19" ht="15.95" customHeight="1" x14ac:dyDescent="0.2">
      <c r="A30" s="9" t="s">
        <v>49</v>
      </c>
      <c r="B30" s="10" t="s">
        <v>23</v>
      </c>
      <c r="C30" s="10" t="s">
        <v>24</v>
      </c>
      <c r="D30" s="11" t="s">
        <v>50</v>
      </c>
      <c r="E30" s="11" t="s">
        <v>51</v>
      </c>
      <c r="F30" s="180" t="s">
        <v>52</v>
      </c>
      <c r="G30" s="63">
        <f t="shared" ca="1" si="0"/>
        <v>-4822</v>
      </c>
      <c r="H30" s="13">
        <v>39560</v>
      </c>
      <c r="I30" s="14" t="s">
        <v>478</v>
      </c>
      <c r="J30" s="15"/>
      <c r="K30" s="15"/>
      <c r="L30" s="15"/>
      <c r="M30" s="15"/>
      <c r="N30" s="15"/>
      <c r="O30" s="15"/>
      <c r="P30" s="15"/>
      <c r="Q30" s="16">
        <v>37733</v>
      </c>
      <c r="R30" s="17" t="str">
        <f t="shared" ca="1" si="1"/>
        <v>------</v>
      </c>
      <c r="S30" s="18" t="s">
        <v>54</v>
      </c>
    </row>
    <row r="31" spans="1:19" ht="15.95" customHeight="1" x14ac:dyDescent="0.2">
      <c r="A31" s="21" t="s">
        <v>55</v>
      </c>
      <c r="B31" s="22" t="s">
        <v>23</v>
      </c>
      <c r="C31" s="22" t="s">
        <v>56</v>
      </c>
      <c r="D31" s="15" t="s">
        <v>57</v>
      </c>
      <c r="E31" s="15" t="s">
        <v>58</v>
      </c>
      <c r="F31" s="182">
        <v>4200</v>
      </c>
      <c r="G31" s="63">
        <f t="shared" ca="1" si="0"/>
        <v>-4820</v>
      </c>
      <c r="H31" s="24">
        <v>39562</v>
      </c>
      <c r="I31" s="25" t="s">
        <v>479</v>
      </c>
      <c r="J31" s="15"/>
      <c r="K31" s="15"/>
      <c r="L31" s="15"/>
      <c r="M31" s="15"/>
      <c r="N31" s="15"/>
      <c r="O31" s="15"/>
      <c r="P31" s="15"/>
      <c r="Q31" s="16">
        <v>38832</v>
      </c>
      <c r="R31" s="17" t="str">
        <f t="shared" ca="1" si="1"/>
        <v>------</v>
      </c>
      <c r="S31" s="26" t="s">
        <v>48</v>
      </c>
    </row>
    <row r="32" spans="1:19" ht="15.95" customHeight="1" x14ac:dyDescent="0.2">
      <c r="A32" s="9" t="s">
        <v>22</v>
      </c>
      <c r="B32" s="10" t="s">
        <v>23</v>
      </c>
      <c r="C32" s="10" t="s">
        <v>24</v>
      </c>
      <c r="D32" s="11" t="s">
        <v>25</v>
      </c>
      <c r="E32" s="11" t="s">
        <v>26</v>
      </c>
      <c r="F32" s="180" t="s">
        <v>480</v>
      </c>
      <c r="G32" s="63">
        <f t="shared" ca="1" si="0"/>
        <v>-4808</v>
      </c>
      <c r="H32" s="13">
        <v>39574</v>
      </c>
      <c r="I32" s="14" t="s">
        <v>481</v>
      </c>
      <c r="J32" s="15"/>
      <c r="K32" s="15"/>
      <c r="L32" s="15"/>
      <c r="M32" s="15"/>
      <c r="N32" s="15"/>
      <c r="O32" s="15"/>
      <c r="P32" s="15"/>
      <c r="Q32" s="16">
        <v>37383</v>
      </c>
      <c r="R32" s="17" t="str">
        <f t="shared" ca="1" si="1"/>
        <v>------</v>
      </c>
      <c r="S32" s="18"/>
    </row>
    <row r="33" spans="1:19" ht="15.95" customHeight="1" x14ac:dyDescent="0.2">
      <c r="A33" s="9" t="s">
        <v>60</v>
      </c>
      <c r="B33" s="10" t="s">
        <v>23</v>
      </c>
      <c r="C33" s="10" t="s">
        <v>61</v>
      </c>
      <c r="D33" s="11" t="s">
        <v>62</v>
      </c>
      <c r="E33" s="11" t="s">
        <v>63</v>
      </c>
      <c r="F33" s="180">
        <v>8644.56</v>
      </c>
      <c r="G33" s="63">
        <f t="shared" ca="1" si="0"/>
        <v>-4780</v>
      </c>
      <c r="H33" s="13">
        <v>39602</v>
      </c>
      <c r="I33" s="14" t="s">
        <v>482</v>
      </c>
      <c r="J33" s="15"/>
      <c r="K33" s="15"/>
      <c r="L33" s="15"/>
      <c r="M33" s="15"/>
      <c r="N33" s="15"/>
      <c r="O33" s="15"/>
      <c r="P33" s="15"/>
      <c r="Q33" s="16">
        <v>37410</v>
      </c>
      <c r="R33" s="17" t="str">
        <f t="shared" ca="1" si="1"/>
        <v>------</v>
      </c>
      <c r="S33" s="18" t="s">
        <v>48</v>
      </c>
    </row>
    <row r="34" spans="1:19" ht="15.95" customHeight="1" x14ac:dyDescent="0.2">
      <c r="A34" s="9" t="s">
        <v>65</v>
      </c>
      <c r="B34" s="20" t="s">
        <v>66</v>
      </c>
      <c r="C34" s="10" t="s">
        <v>67</v>
      </c>
      <c r="D34" s="11" t="s">
        <v>68</v>
      </c>
      <c r="E34" s="183" t="s">
        <v>500</v>
      </c>
      <c r="F34" s="180" t="s">
        <v>292</v>
      </c>
      <c r="G34" s="63">
        <f t="shared" ca="1" si="0"/>
        <v>-4773</v>
      </c>
      <c r="H34" s="13">
        <v>39609</v>
      </c>
      <c r="I34" s="27" t="s">
        <v>484</v>
      </c>
      <c r="J34" s="15"/>
      <c r="K34" s="15"/>
      <c r="L34" s="15"/>
      <c r="M34" s="15"/>
      <c r="N34" s="15"/>
      <c r="O34" s="15"/>
      <c r="P34" s="15"/>
      <c r="Q34" s="16">
        <v>37417</v>
      </c>
      <c r="R34" s="17">
        <f t="shared" ca="1" si="1"/>
        <v>-4773</v>
      </c>
      <c r="S34" s="18" t="s">
        <v>48</v>
      </c>
    </row>
    <row r="35" spans="1:19" ht="15.95" customHeight="1" x14ac:dyDescent="0.2">
      <c r="A35" s="9" t="s">
        <v>72</v>
      </c>
      <c r="B35" s="10" t="s">
        <v>23</v>
      </c>
      <c r="C35" s="10" t="s">
        <v>61</v>
      </c>
      <c r="D35" s="11" t="s">
        <v>73</v>
      </c>
      <c r="E35" s="11" t="s">
        <v>74</v>
      </c>
      <c r="F35" s="12" t="s">
        <v>75</v>
      </c>
      <c r="G35" s="63">
        <f t="shared" ca="1" si="0"/>
        <v>-4773</v>
      </c>
      <c r="H35" s="13">
        <v>39609</v>
      </c>
      <c r="I35" s="27" t="s">
        <v>247</v>
      </c>
      <c r="J35" s="15"/>
      <c r="K35" s="15"/>
      <c r="L35" s="15"/>
      <c r="M35" s="15"/>
      <c r="N35" s="15"/>
      <c r="O35" s="15"/>
      <c r="P35" s="15"/>
      <c r="Q35" s="16">
        <v>37417</v>
      </c>
      <c r="R35" s="17" t="str">
        <f t="shared" ca="1" si="1"/>
        <v>------</v>
      </c>
      <c r="S35" s="18" t="s">
        <v>34</v>
      </c>
    </row>
    <row r="36" spans="1:19" ht="15.95" customHeight="1" x14ac:dyDescent="0.2">
      <c r="A36" s="31" t="s">
        <v>363</v>
      </c>
      <c r="B36" s="33" t="s">
        <v>485</v>
      </c>
      <c r="C36" s="33" t="s">
        <v>37</v>
      </c>
      <c r="D36" s="34" t="s">
        <v>365</v>
      </c>
      <c r="E36" s="34" t="s">
        <v>366</v>
      </c>
      <c r="F36" s="181">
        <v>21600</v>
      </c>
      <c r="G36" s="63">
        <f t="shared" ca="1" si="0"/>
        <v>-4729</v>
      </c>
      <c r="H36" s="36">
        <v>39653</v>
      </c>
      <c r="I36" s="37" t="s">
        <v>486</v>
      </c>
      <c r="J36" s="38"/>
      <c r="K36" s="38"/>
      <c r="L36" s="38"/>
      <c r="M36" s="38"/>
      <c r="N36" s="38"/>
      <c r="O36" s="38"/>
      <c r="P36" s="38"/>
      <c r="Q36" s="39">
        <v>39288</v>
      </c>
      <c r="R36" s="17">
        <f t="shared" ca="1" si="1"/>
        <v>-2902</v>
      </c>
      <c r="S36" s="41" t="s">
        <v>96</v>
      </c>
    </row>
    <row r="37" spans="1:19" ht="15.95" customHeight="1" x14ac:dyDescent="0.2">
      <c r="A37" s="9" t="s">
        <v>87</v>
      </c>
      <c r="B37" s="10" t="s">
        <v>23</v>
      </c>
      <c r="C37" s="10" t="s">
        <v>56</v>
      </c>
      <c r="D37" s="11" t="s">
        <v>88</v>
      </c>
      <c r="E37" s="11" t="s">
        <v>89</v>
      </c>
      <c r="F37" s="12">
        <v>14400</v>
      </c>
      <c r="G37" s="63">
        <f t="shared" ca="1" si="0"/>
        <v>-4722</v>
      </c>
      <c r="H37" s="13">
        <v>39660</v>
      </c>
      <c r="I37" s="14" t="s">
        <v>487</v>
      </c>
      <c r="J37" s="15"/>
      <c r="K37" s="15"/>
      <c r="L37" s="15"/>
      <c r="M37" s="15"/>
      <c r="N37" s="15"/>
      <c r="O37" s="15"/>
      <c r="P37" s="15"/>
      <c r="Q37" s="16">
        <v>38989</v>
      </c>
      <c r="R37" s="17" t="str">
        <f t="shared" ca="1" si="1"/>
        <v>------</v>
      </c>
      <c r="S37" s="18" t="s">
        <v>48</v>
      </c>
    </row>
    <row r="38" spans="1:19" ht="15.95" customHeight="1" x14ac:dyDescent="0.2">
      <c r="A38" s="31" t="s">
        <v>91</v>
      </c>
      <c r="B38" s="32" t="s">
        <v>92</v>
      </c>
      <c r="C38" s="33" t="s">
        <v>67</v>
      </c>
      <c r="D38" s="34" t="s">
        <v>93</v>
      </c>
      <c r="E38" s="34" t="s">
        <v>94</v>
      </c>
      <c r="F38" s="181">
        <f>781176.84+17967.07</f>
        <v>799143.90999999992</v>
      </c>
      <c r="G38" s="63">
        <f t="shared" ca="1" si="0"/>
        <v>-4712</v>
      </c>
      <c r="H38" s="36">
        <v>39670</v>
      </c>
      <c r="I38" s="37" t="s">
        <v>249</v>
      </c>
      <c r="J38" s="38"/>
      <c r="K38" s="38"/>
      <c r="L38" s="38"/>
      <c r="M38" s="38"/>
      <c r="N38" s="38"/>
      <c r="O38" s="38"/>
      <c r="P38" s="38"/>
      <c r="Q38" s="39">
        <v>37844</v>
      </c>
      <c r="R38" s="17">
        <f t="shared" ca="1" si="1"/>
        <v>-4346</v>
      </c>
      <c r="S38" s="41" t="s">
        <v>96</v>
      </c>
    </row>
    <row r="39" spans="1:19" ht="15.95" customHeight="1" x14ac:dyDescent="0.2">
      <c r="A39" s="31" t="s">
        <v>488</v>
      </c>
      <c r="B39" s="33" t="s">
        <v>489</v>
      </c>
      <c r="C39" s="33" t="s">
        <v>226</v>
      </c>
      <c r="D39" s="34" t="s">
        <v>44</v>
      </c>
      <c r="E39" s="34" t="s">
        <v>252</v>
      </c>
      <c r="F39" s="181">
        <v>127800</v>
      </c>
      <c r="G39" s="63">
        <f t="shared" ca="1" si="0"/>
        <v>-4689</v>
      </c>
      <c r="H39" s="36">
        <v>39693</v>
      </c>
      <c r="I39" s="37" t="s">
        <v>490</v>
      </c>
      <c r="J39" s="38"/>
      <c r="K39" s="38"/>
      <c r="L39" s="38"/>
      <c r="M39" s="38"/>
      <c r="N39" s="38"/>
      <c r="O39" s="38"/>
      <c r="P39" s="38"/>
      <c r="Q39" s="39">
        <v>39328</v>
      </c>
      <c r="R39" s="17">
        <f t="shared" ca="1" si="1"/>
        <v>-2862</v>
      </c>
      <c r="S39" s="41" t="s">
        <v>48</v>
      </c>
    </row>
    <row r="40" spans="1:19" ht="15.95" customHeight="1" x14ac:dyDescent="0.2">
      <c r="A40" s="31" t="s">
        <v>97</v>
      </c>
      <c r="B40" s="33" t="s">
        <v>23</v>
      </c>
      <c r="C40" s="33" t="s">
        <v>61</v>
      </c>
      <c r="D40" s="34" t="s">
        <v>98</v>
      </c>
      <c r="E40" s="34" t="s">
        <v>99</v>
      </c>
      <c r="F40" s="181" t="s">
        <v>100</v>
      </c>
      <c r="G40" s="63">
        <f t="shared" ca="1" si="0"/>
        <v>-4672</v>
      </c>
      <c r="H40" s="36">
        <v>39710</v>
      </c>
      <c r="I40" s="37" t="s">
        <v>256</v>
      </c>
      <c r="J40" s="38"/>
      <c r="K40" s="38"/>
      <c r="L40" s="38"/>
      <c r="M40" s="38"/>
      <c r="N40" s="38"/>
      <c r="O40" s="38"/>
      <c r="P40" s="38"/>
      <c r="Q40" s="39">
        <v>38249</v>
      </c>
      <c r="R40" s="17" t="str">
        <f t="shared" ca="1" si="1"/>
        <v>------</v>
      </c>
      <c r="S40" s="41" t="s">
        <v>48</v>
      </c>
    </row>
    <row r="41" spans="1:19" ht="15.95" customHeight="1" x14ac:dyDescent="0.2">
      <c r="A41" s="31" t="s">
        <v>102</v>
      </c>
      <c r="B41" s="33" t="s">
        <v>23</v>
      </c>
      <c r="C41" s="33" t="s">
        <v>56</v>
      </c>
      <c r="D41" s="34" t="s">
        <v>103</v>
      </c>
      <c r="E41" s="34" t="s">
        <v>104</v>
      </c>
      <c r="F41" s="181">
        <v>1612.68</v>
      </c>
      <c r="G41" s="63">
        <f t="shared" ca="1" si="0"/>
        <v>-4666</v>
      </c>
      <c r="H41" s="36">
        <v>39716</v>
      </c>
      <c r="I41" s="37" t="s">
        <v>258</v>
      </c>
      <c r="J41" s="38"/>
      <c r="K41" s="38"/>
      <c r="L41" s="38"/>
      <c r="M41" s="38"/>
      <c r="N41" s="38"/>
      <c r="O41" s="38"/>
      <c r="P41" s="38"/>
      <c r="Q41" s="39">
        <v>38986</v>
      </c>
      <c r="R41" s="17" t="str">
        <f t="shared" ca="1" si="1"/>
        <v>------</v>
      </c>
      <c r="S41" s="41" t="s">
        <v>96</v>
      </c>
    </row>
    <row r="42" spans="1:19" ht="15.95" customHeight="1" x14ac:dyDescent="0.2">
      <c r="A42" s="31" t="s">
        <v>112</v>
      </c>
      <c r="B42" s="33" t="s">
        <v>23</v>
      </c>
      <c r="C42" s="33" t="s">
        <v>56</v>
      </c>
      <c r="D42" s="34" t="s">
        <v>44</v>
      </c>
      <c r="E42" s="34" t="s">
        <v>113</v>
      </c>
      <c r="F42" s="181">
        <f>1330*12</f>
        <v>15960</v>
      </c>
      <c r="G42" s="63">
        <f t="shared" ca="1" si="0"/>
        <v>-4657</v>
      </c>
      <c r="H42" s="36">
        <v>39725</v>
      </c>
      <c r="I42" s="37" t="s">
        <v>265</v>
      </c>
      <c r="J42" s="38"/>
      <c r="K42" s="38"/>
      <c r="L42" s="38"/>
      <c r="M42" s="38"/>
      <c r="N42" s="38"/>
      <c r="O42" s="38"/>
      <c r="P42" s="38"/>
      <c r="Q42" s="39">
        <v>39026</v>
      </c>
      <c r="R42" s="17" t="str">
        <f t="shared" ca="1" si="1"/>
        <v>------</v>
      </c>
      <c r="S42" s="41" t="s">
        <v>48</v>
      </c>
    </row>
    <row r="43" spans="1:19" ht="15.95" customHeight="1" x14ac:dyDescent="0.2">
      <c r="A43" s="31" t="s">
        <v>215</v>
      </c>
      <c r="B43" s="33" t="s">
        <v>23</v>
      </c>
      <c r="C43" s="33" t="s">
        <v>24</v>
      </c>
      <c r="D43" s="34" t="s">
        <v>216</v>
      </c>
      <c r="E43" s="34" t="s">
        <v>217</v>
      </c>
      <c r="F43" s="181" t="s">
        <v>218</v>
      </c>
      <c r="G43" s="63">
        <f t="shared" ca="1" si="0"/>
        <v>-4657</v>
      </c>
      <c r="H43" s="36">
        <v>39725</v>
      </c>
      <c r="I43" s="37" t="s">
        <v>219</v>
      </c>
      <c r="J43" s="38"/>
      <c r="K43" s="38"/>
      <c r="L43" s="38"/>
      <c r="M43" s="38"/>
      <c r="N43" s="38"/>
      <c r="O43" s="38"/>
      <c r="P43" s="38"/>
      <c r="Q43" s="39">
        <v>36795</v>
      </c>
      <c r="R43" s="17" t="str">
        <f t="shared" ca="1" si="1"/>
        <v>------</v>
      </c>
      <c r="S43" s="41" t="s">
        <v>169</v>
      </c>
    </row>
    <row r="44" spans="1:19" ht="15.95" customHeight="1" x14ac:dyDescent="0.2">
      <c r="A44" s="31" t="s">
        <v>115</v>
      </c>
      <c r="B44" s="33" t="s">
        <v>23</v>
      </c>
      <c r="C44" s="33" t="s">
        <v>56</v>
      </c>
      <c r="D44" s="34" t="s">
        <v>116</v>
      </c>
      <c r="E44" s="34" t="s">
        <v>117</v>
      </c>
      <c r="F44" s="181">
        <v>5521.6</v>
      </c>
      <c r="G44" s="63">
        <f t="shared" ca="1" si="0"/>
        <v>-4637</v>
      </c>
      <c r="H44" s="36">
        <v>39745</v>
      </c>
      <c r="I44" s="37" t="s">
        <v>267</v>
      </c>
      <c r="J44" s="38"/>
      <c r="K44" s="38"/>
      <c r="L44" s="38"/>
      <c r="M44" s="38"/>
      <c r="N44" s="38"/>
      <c r="O44" s="38"/>
      <c r="P44" s="38"/>
      <c r="Q44" s="39">
        <v>39015</v>
      </c>
      <c r="R44" s="17" t="str">
        <f t="shared" ca="1" si="1"/>
        <v>------</v>
      </c>
      <c r="S44" s="41" t="s">
        <v>96</v>
      </c>
    </row>
    <row r="45" spans="1:19" ht="15.95" customHeight="1" x14ac:dyDescent="0.2">
      <c r="A45" s="31" t="s">
        <v>124</v>
      </c>
      <c r="B45" s="33" t="s">
        <v>23</v>
      </c>
      <c r="C45" s="33" t="s">
        <v>56</v>
      </c>
      <c r="D45" s="34" t="s">
        <v>125</v>
      </c>
      <c r="E45" s="34" t="s">
        <v>126</v>
      </c>
      <c r="F45" s="181">
        <v>10080</v>
      </c>
      <c r="G45" s="63">
        <f t="shared" ca="1" si="0"/>
        <v>-4630</v>
      </c>
      <c r="H45" s="36">
        <v>39752</v>
      </c>
      <c r="I45" s="37" t="s">
        <v>277</v>
      </c>
      <c r="J45" s="38"/>
      <c r="K45" s="38"/>
      <c r="L45" s="38"/>
      <c r="M45" s="38"/>
      <c r="N45" s="38"/>
      <c r="O45" s="38"/>
      <c r="P45" s="38"/>
      <c r="Q45" s="39">
        <v>39022</v>
      </c>
      <c r="R45" s="17" t="str">
        <f t="shared" ca="1" si="1"/>
        <v>------</v>
      </c>
      <c r="S45" s="41" t="s">
        <v>48</v>
      </c>
    </row>
    <row r="46" spans="1:19" ht="15.95" customHeight="1" x14ac:dyDescent="0.2">
      <c r="A46" s="31" t="s">
        <v>137</v>
      </c>
      <c r="B46" s="33" t="s">
        <v>23</v>
      </c>
      <c r="C46" s="33" t="s">
        <v>56</v>
      </c>
      <c r="D46" s="34" t="s">
        <v>138</v>
      </c>
      <c r="E46" s="34" t="s">
        <v>139</v>
      </c>
      <c r="F46" s="181" t="s">
        <v>282</v>
      </c>
      <c r="G46" s="63">
        <f t="shared" ca="1" si="0"/>
        <v>-4615</v>
      </c>
      <c r="H46" s="36">
        <v>39767</v>
      </c>
      <c r="I46" s="37" t="s">
        <v>283</v>
      </c>
      <c r="J46" s="38"/>
      <c r="K46" s="38"/>
      <c r="L46" s="38"/>
      <c r="M46" s="38"/>
      <c r="N46" s="38"/>
      <c r="O46" s="38"/>
      <c r="P46" s="38"/>
      <c r="Q46" s="39">
        <v>39037</v>
      </c>
      <c r="R46" s="17" t="str">
        <f t="shared" ca="1" si="1"/>
        <v>------</v>
      </c>
      <c r="S46" s="41" t="s">
        <v>48</v>
      </c>
    </row>
    <row r="47" spans="1:19" ht="15.95" customHeight="1" x14ac:dyDescent="0.2">
      <c r="A47" s="9" t="s">
        <v>142</v>
      </c>
      <c r="B47" s="10" t="s">
        <v>23</v>
      </c>
      <c r="C47" s="10" t="s">
        <v>61</v>
      </c>
      <c r="D47" s="11" t="s">
        <v>143</v>
      </c>
      <c r="E47" s="11" t="s">
        <v>144</v>
      </c>
      <c r="F47" s="180">
        <v>3519.96</v>
      </c>
      <c r="G47" s="63">
        <f t="shared" ca="1" si="0"/>
        <v>-4599</v>
      </c>
      <c r="H47" s="13">
        <v>39783</v>
      </c>
      <c r="I47" s="14" t="s">
        <v>285</v>
      </c>
      <c r="J47" s="15"/>
      <c r="K47" s="15"/>
      <c r="L47" s="15"/>
      <c r="M47" s="15"/>
      <c r="N47" s="15"/>
      <c r="O47" s="15"/>
      <c r="P47" s="15"/>
      <c r="Q47" s="16">
        <v>37956</v>
      </c>
      <c r="R47" s="17" t="str">
        <f t="shared" ca="1" si="1"/>
        <v>------</v>
      </c>
      <c r="S47" s="18" t="s">
        <v>41</v>
      </c>
    </row>
    <row r="48" spans="1:19" ht="15.95" customHeight="1" x14ac:dyDescent="0.2">
      <c r="A48" s="31" t="s">
        <v>501</v>
      </c>
      <c r="B48" s="33" t="s">
        <v>56</v>
      </c>
      <c r="C48" s="33" t="s">
        <v>23</v>
      </c>
      <c r="D48" s="34" t="s">
        <v>295</v>
      </c>
      <c r="E48" s="34" t="s">
        <v>296</v>
      </c>
      <c r="F48" s="181">
        <v>6600</v>
      </c>
      <c r="G48" s="69">
        <f t="shared" ca="1" si="0"/>
        <v>-4582</v>
      </c>
      <c r="H48" s="36">
        <v>39800</v>
      </c>
      <c r="I48" s="37" t="s">
        <v>298</v>
      </c>
      <c r="J48" s="38"/>
      <c r="K48" s="38"/>
      <c r="L48" s="38"/>
      <c r="M48" s="38"/>
      <c r="N48" s="38"/>
      <c r="O48" s="38"/>
      <c r="P48" s="38"/>
      <c r="Q48" s="39">
        <v>39435</v>
      </c>
      <c r="R48" s="40">
        <f t="shared" ca="1" si="1"/>
        <v>-2755</v>
      </c>
      <c r="S48" s="41" t="s">
        <v>48</v>
      </c>
    </row>
    <row r="49" spans="1:24" ht="15.95" customHeight="1" x14ac:dyDescent="0.2">
      <c r="A49" s="31" t="s">
        <v>502</v>
      </c>
      <c r="B49" s="33" t="s">
        <v>61</v>
      </c>
      <c r="C49" s="33" t="s">
        <v>23</v>
      </c>
      <c r="D49" s="34" t="s">
        <v>212</v>
      </c>
      <c r="E49" s="34" t="s">
        <v>300</v>
      </c>
      <c r="F49" s="181">
        <v>11880</v>
      </c>
      <c r="G49" s="69">
        <f t="shared" ca="1" si="0"/>
        <v>-4573</v>
      </c>
      <c r="H49" s="36">
        <v>39809</v>
      </c>
      <c r="I49" s="37" t="s">
        <v>302</v>
      </c>
      <c r="J49" s="38"/>
      <c r="K49" s="38"/>
      <c r="L49" s="38"/>
      <c r="M49" s="38"/>
      <c r="N49" s="38"/>
      <c r="O49" s="38"/>
      <c r="P49" s="38"/>
      <c r="Q49" s="39">
        <v>39444</v>
      </c>
      <c r="R49" s="40">
        <f t="shared" ca="1" si="1"/>
        <v>-2746</v>
      </c>
      <c r="S49" s="41" t="s">
        <v>48</v>
      </c>
    </row>
    <row r="50" spans="1:24" ht="15.95" customHeight="1" x14ac:dyDescent="0.2">
      <c r="A50" s="9" t="s">
        <v>170</v>
      </c>
      <c r="B50" s="10" t="s">
        <v>23</v>
      </c>
      <c r="C50" s="10" t="s">
        <v>61</v>
      </c>
      <c r="D50" s="11" t="s">
        <v>171</v>
      </c>
      <c r="E50" s="11" t="s">
        <v>172</v>
      </c>
      <c r="F50" s="180" t="s">
        <v>307</v>
      </c>
      <c r="G50" s="63">
        <f t="shared" ca="1" si="0"/>
        <v>-4570</v>
      </c>
      <c r="H50" s="13">
        <v>39812</v>
      </c>
      <c r="I50" s="14" t="s">
        <v>308</v>
      </c>
      <c r="J50" s="15"/>
      <c r="K50" s="15"/>
      <c r="L50" s="15"/>
      <c r="M50" s="15"/>
      <c r="N50" s="15"/>
      <c r="O50" s="15"/>
      <c r="P50" s="15"/>
      <c r="Q50" s="16">
        <v>37985</v>
      </c>
      <c r="R50" s="17" t="str">
        <f t="shared" ca="1" si="1"/>
        <v>------</v>
      </c>
      <c r="S50" s="18" t="s">
        <v>54</v>
      </c>
    </row>
    <row r="51" spans="1:24" ht="15.95" customHeight="1" x14ac:dyDescent="0.2">
      <c r="A51" s="30" t="s">
        <v>309</v>
      </c>
      <c r="B51" s="22" t="s">
        <v>23</v>
      </c>
      <c r="C51" s="10" t="s">
        <v>61</v>
      </c>
      <c r="D51" s="11" t="s">
        <v>176</v>
      </c>
      <c r="E51" s="11" t="s">
        <v>177</v>
      </c>
      <c r="F51" s="180">
        <v>15900</v>
      </c>
      <c r="G51" s="63">
        <f t="shared" ca="1" si="0"/>
        <v>-4569</v>
      </c>
      <c r="H51" s="13">
        <v>39813</v>
      </c>
      <c r="I51" s="14" t="s">
        <v>493</v>
      </c>
      <c r="J51" s="15"/>
      <c r="K51" s="15"/>
      <c r="L51" s="15"/>
      <c r="M51" s="15"/>
      <c r="N51" s="15"/>
      <c r="O51" s="15"/>
      <c r="P51" s="15"/>
      <c r="Q51" s="16">
        <v>38749</v>
      </c>
      <c r="R51" s="17" t="str">
        <f t="shared" ca="1" si="1"/>
        <v>------</v>
      </c>
      <c r="S51" s="18" t="s">
        <v>179</v>
      </c>
    </row>
    <row r="52" spans="1:24" ht="15.6" customHeight="1" x14ac:dyDescent="0.2">
      <c r="A52" s="31" t="s">
        <v>220</v>
      </c>
      <c r="B52" s="33" t="s">
        <v>23</v>
      </c>
      <c r="C52" s="33" t="s">
        <v>61</v>
      </c>
      <c r="D52" s="34" t="s">
        <v>221</v>
      </c>
      <c r="E52" s="34" t="s">
        <v>222</v>
      </c>
      <c r="F52" s="181">
        <f>6300*12</f>
        <v>75600</v>
      </c>
      <c r="G52" s="69">
        <f t="shared" ca="1" si="0"/>
        <v>-4557</v>
      </c>
      <c r="H52" s="36">
        <v>39825</v>
      </c>
      <c r="I52" s="37" t="s">
        <v>223</v>
      </c>
      <c r="J52" s="38"/>
      <c r="K52" s="38"/>
      <c r="L52" s="38"/>
      <c r="M52" s="38"/>
      <c r="N52" s="38"/>
      <c r="O52" s="38"/>
      <c r="P52" s="38"/>
      <c r="Q52" s="39">
        <v>36903</v>
      </c>
      <c r="R52" s="40" t="str">
        <f t="shared" ca="1" si="1"/>
        <v>------</v>
      </c>
      <c r="S52" s="41" t="s">
        <v>48</v>
      </c>
    </row>
    <row r="53" spans="1:24" ht="15.95" customHeight="1" x14ac:dyDescent="0.2">
      <c r="A53" s="9" t="s">
        <v>184</v>
      </c>
      <c r="B53" s="20" t="s">
        <v>185</v>
      </c>
      <c r="C53" s="10" t="s">
        <v>37</v>
      </c>
      <c r="D53" s="11" t="s">
        <v>186</v>
      </c>
      <c r="E53" s="11" t="s">
        <v>187</v>
      </c>
      <c r="F53" s="180">
        <v>74096.160000000003</v>
      </c>
      <c r="G53" s="63">
        <f t="shared" ca="1" si="0"/>
        <v>-4554</v>
      </c>
      <c r="H53" s="13">
        <v>39828</v>
      </c>
      <c r="I53" s="14" t="s">
        <v>494</v>
      </c>
      <c r="J53" s="15"/>
      <c r="K53" s="15"/>
      <c r="L53" s="15"/>
      <c r="M53" s="15"/>
      <c r="N53" s="15"/>
      <c r="O53" s="15"/>
      <c r="P53" s="15"/>
      <c r="Q53" s="16">
        <v>38732</v>
      </c>
      <c r="R53" s="17">
        <f t="shared" ca="1" si="1"/>
        <v>-3459</v>
      </c>
      <c r="S53" s="18" t="s">
        <v>169</v>
      </c>
    </row>
    <row r="54" spans="1:24" ht="15.95" customHeight="1" x14ac:dyDescent="0.2">
      <c r="A54" s="31" t="s">
        <v>224</v>
      </c>
      <c r="B54" s="33" t="s">
        <v>225</v>
      </c>
      <c r="C54" s="33" t="s">
        <v>226</v>
      </c>
      <c r="D54" s="34" t="s">
        <v>227</v>
      </c>
      <c r="E54" s="34" t="s">
        <v>228</v>
      </c>
      <c r="F54" s="181">
        <v>32400</v>
      </c>
      <c r="G54" s="69">
        <f t="shared" ca="1" si="0"/>
        <v>-4540</v>
      </c>
      <c r="H54" s="36">
        <v>39842</v>
      </c>
      <c r="I54" s="37" t="s">
        <v>229</v>
      </c>
      <c r="J54" s="38"/>
      <c r="K54" s="38"/>
      <c r="L54" s="38"/>
      <c r="M54" s="38"/>
      <c r="N54" s="38"/>
      <c r="O54" s="38"/>
      <c r="P54" s="38"/>
      <c r="Q54" s="39">
        <v>38747</v>
      </c>
      <c r="R54" s="40">
        <f t="shared" ca="1" si="1"/>
        <v>-3444</v>
      </c>
      <c r="S54" s="41" t="s">
        <v>41</v>
      </c>
    </row>
    <row r="55" spans="1:24" ht="15.95" customHeight="1" x14ac:dyDescent="0.2">
      <c r="A55" s="31" t="s">
        <v>503</v>
      </c>
      <c r="B55" s="33" t="s">
        <v>56</v>
      </c>
      <c r="C55" s="33" t="s">
        <v>23</v>
      </c>
      <c r="D55" s="34" t="s">
        <v>83</v>
      </c>
      <c r="E55" s="34" t="s">
        <v>319</v>
      </c>
      <c r="F55" s="181" t="s">
        <v>321</v>
      </c>
      <c r="G55" s="69">
        <f t="shared" ca="1" si="0"/>
        <v>-4537</v>
      </c>
      <c r="H55" s="36">
        <v>39845</v>
      </c>
      <c r="I55" s="37" t="s">
        <v>322</v>
      </c>
      <c r="J55" s="38"/>
      <c r="K55" s="38"/>
      <c r="L55" s="38"/>
      <c r="M55" s="38"/>
      <c r="N55" s="38"/>
      <c r="O55" s="38"/>
      <c r="P55" s="38"/>
      <c r="Q55" s="39">
        <v>39480</v>
      </c>
      <c r="R55" s="40">
        <f t="shared" ca="1" si="1"/>
        <v>-2710</v>
      </c>
      <c r="S55" s="41" t="s">
        <v>48</v>
      </c>
    </row>
    <row r="56" spans="1:24" ht="15.95" customHeight="1" x14ac:dyDescent="0.2">
      <c r="A56" s="31" t="s">
        <v>504</v>
      </c>
      <c r="B56" s="33" t="s">
        <v>61</v>
      </c>
      <c r="C56" s="33" t="s">
        <v>23</v>
      </c>
      <c r="D56" s="34" t="s">
        <v>180</v>
      </c>
      <c r="E56" s="34" t="s">
        <v>326</v>
      </c>
      <c r="F56" s="181" t="s">
        <v>328</v>
      </c>
      <c r="G56" s="69">
        <f t="shared" ca="1" si="0"/>
        <v>-4533</v>
      </c>
      <c r="H56" s="36">
        <v>39849</v>
      </c>
      <c r="I56" s="37" t="s">
        <v>329</v>
      </c>
      <c r="J56" s="38"/>
      <c r="K56" s="38"/>
      <c r="L56" s="38"/>
      <c r="M56" s="38"/>
      <c r="N56" s="38"/>
      <c r="O56" s="38"/>
      <c r="P56" s="38"/>
      <c r="Q56" s="39">
        <v>39484</v>
      </c>
      <c r="R56" s="40">
        <f t="shared" ca="1" si="1"/>
        <v>-2706</v>
      </c>
      <c r="S56" s="41" t="s">
        <v>48</v>
      </c>
    </row>
    <row r="57" spans="1:24" ht="15.95" customHeight="1" x14ac:dyDescent="0.2">
      <c r="A57" s="31" t="s">
        <v>383</v>
      </c>
      <c r="B57" s="33" t="s">
        <v>23</v>
      </c>
      <c r="C57" s="33" t="s">
        <v>372</v>
      </c>
      <c r="D57" s="34" t="s">
        <v>384</v>
      </c>
      <c r="E57" s="34" t="s">
        <v>385</v>
      </c>
      <c r="F57" s="181" t="s">
        <v>375</v>
      </c>
      <c r="G57" s="69">
        <f t="shared" ca="1" si="0"/>
        <v>-3347</v>
      </c>
      <c r="H57" s="36">
        <v>41035</v>
      </c>
      <c r="I57" s="37" t="s">
        <v>387</v>
      </c>
      <c r="J57" s="38"/>
      <c r="K57" s="38"/>
      <c r="L57" s="38"/>
      <c r="M57" s="38"/>
      <c r="N57" s="38"/>
      <c r="O57" s="38"/>
      <c r="P57" s="38"/>
      <c r="Q57" s="39">
        <v>39209</v>
      </c>
      <c r="R57" s="40" t="str">
        <f ca="1">IF(AND(C57&lt;&gt;"DISPENSADA",C57&lt;&gt;"DISPENSÁVEL",C57&lt;&gt;"INEXIGÍVEL",C57&lt;&gt;"CONVÊNIO"),DATE(YEAR(Q57)+6,MONTH(Q57),DAY(Q57))-TODAY(),"------")</f>
        <v>------</v>
      </c>
      <c r="S57" s="41" t="s">
        <v>96</v>
      </c>
    </row>
    <row r="58" spans="1:24" ht="15.95" customHeight="1" x14ac:dyDescent="0.2">
      <c r="A58" s="42" t="s">
        <v>230</v>
      </c>
      <c r="B58" s="43" t="s">
        <v>23</v>
      </c>
      <c r="C58" s="43" t="s">
        <v>61</v>
      </c>
      <c r="D58" s="44" t="s">
        <v>231</v>
      </c>
      <c r="E58" s="44" t="s">
        <v>232</v>
      </c>
      <c r="F58" s="45">
        <v>21785.16</v>
      </c>
      <c r="G58" s="72" t="s">
        <v>23</v>
      </c>
      <c r="H58" s="73" t="s">
        <v>233</v>
      </c>
      <c r="I58" s="47" t="s">
        <v>234</v>
      </c>
      <c r="J58" s="48"/>
      <c r="K58" s="48"/>
      <c r="L58" s="48"/>
      <c r="M58" s="48"/>
      <c r="N58" s="48"/>
      <c r="O58" s="48"/>
      <c r="P58" s="48"/>
      <c r="Q58" s="49">
        <v>37043</v>
      </c>
      <c r="R58" s="50" t="str">
        <f ca="1">IF(AND(C58&lt;&gt;"DISPENSADA",C58&lt;&gt;"DISPENSÁVEL",C58&lt;&gt;"INEXIGÍVEL"),DATE(YEAR(Q58)+6,MONTH(Q58),DAY(Q58))-TODAY(),"------")</f>
        <v>------</v>
      </c>
      <c r="S58" s="51" t="s">
        <v>54</v>
      </c>
    </row>
    <row r="59" spans="1:24" ht="11.85" customHeight="1" x14ac:dyDescent="0.2">
      <c r="A59" s="52"/>
      <c r="B59" s="52"/>
      <c r="C59" s="52"/>
      <c r="E59" s="52"/>
      <c r="H59" s="52"/>
    </row>
    <row r="60" spans="1:24" ht="12.6" customHeight="1" x14ac:dyDescent="0.2">
      <c r="A60" s="52"/>
      <c r="B60" s="52"/>
      <c r="C60" s="52"/>
      <c r="D60" s="53" t="s">
        <v>235</v>
      </c>
      <c r="E60" s="52"/>
      <c r="G60" s="75"/>
      <c r="H60" s="52"/>
      <c r="Q60" s="927"/>
      <c r="R60" s="927"/>
      <c r="S60" s="927"/>
      <c r="T60" s="927"/>
      <c r="U60" s="927"/>
      <c r="V60" s="927"/>
      <c r="W60" s="927"/>
      <c r="X60" s="927"/>
    </row>
    <row r="61" spans="1:24" ht="11.85" customHeight="1" x14ac:dyDescent="0.2">
      <c r="A61" s="52"/>
      <c r="B61" s="52"/>
      <c r="C61" s="52"/>
      <c r="D61" s="53" t="s">
        <v>236</v>
      </c>
      <c r="E61" s="52"/>
      <c r="H61" s="52"/>
    </row>
    <row r="62" spans="1:24" ht="11.85" customHeight="1" x14ac:dyDescent="0.2">
      <c r="A62" s="52"/>
      <c r="B62" s="52"/>
      <c r="C62" s="52"/>
      <c r="D62" s="53" t="s">
        <v>237</v>
      </c>
      <c r="E62" s="52"/>
      <c r="H62" s="52"/>
    </row>
    <row r="63" spans="1:24" ht="11.85" customHeight="1" x14ac:dyDescent="0.2">
      <c r="D63" s="53" t="s">
        <v>238</v>
      </c>
    </row>
    <row r="64" spans="1:24" ht="11.85" customHeight="1" x14ac:dyDescent="0.2">
      <c r="D64" s="54" t="s">
        <v>239</v>
      </c>
    </row>
    <row r="65" spans="4:4" ht="14.1" customHeight="1" x14ac:dyDescent="0.2">
      <c r="D65" s="54" t="s">
        <v>388</v>
      </c>
    </row>
  </sheetData>
  <mergeCells count="16">
    <mergeCell ref="S9:S10"/>
    <mergeCell ref="Q60:X60"/>
    <mergeCell ref="J9:J10"/>
    <mergeCell ref="K9:O9"/>
    <mergeCell ref="P9:P10"/>
    <mergeCell ref="Q9:Q10"/>
    <mergeCell ref="A8:S8"/>
    <mergeCell ref="A9:A10"/>
    <mergeCell ref="B9:B10"/>
    <mergeCell ref="C9:C10"/>
    <mergeCell ref="D9:D10"/>
    <mergeCell ref="E9:E10"/>
    <mergeCell ref="F9:F10"/>
    <mergeCell ref="G9:G10"/>
    <mergeCell ref="H9:H10"/>
    <mergeCell ref="I9:I10"/>
  </mergeCells>
  <phoneticPr fontId="2" type="noConversion"/>
  <conditionalFormatting sqref="A11:S58">
    <cfRule type="expression" dxfId="103" priority="1" stopIfTrue="1">
      <formula>$G11:$G54&lt;=30</formula>
    </cfRule>
  </conditionalFormatting>
  <printOptions horizontalCentered="1"/>
  <pageMargins left="0.19652777777777777" right="0.19652777777777777" top="0.19652777777777777" bottom="0.19652777777777777" header="0.51180555555555551" footer="0.51180555555555551"/>
  <pageSetup paperSize="9" scale="57" firstPageNumber="0" orientation="landscape"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65"/>
  <sheetViews>
    <sheetView zoomScale="118" zoomScaleNormal="118" workbookViewId="0">
      <pane ySplit="10" topLeftCell="A11" activePane="bottomLeft" state="frozen"/>
      <selection activeCell="E1" sqref="E1"/>
      <selection pane="bottomLeft" activeCell="E17" sqref="E17"/>
    </sheetView>
  </sheetViews>
  <sheetFormatPr defaultRowHeight="14.1" customHeight="1" x14ac:dyDescent="0.2"/>
  <cols>
    <col min="1" max="1" width="9.7109375" style="1" bestFit="1" customWidth="1"/>
    <col min="2" max="2" width="10.85546875" style="1" hidden="1" customWidth="1"/>
    <col min="3" max="3" width="14.140625" style="1" hidden="1" customWidth="1"/>
    <col min="4" max="4" width="52.28515625" style="1" bestFit="1" customWidth="1"/>
    <col min="5" max="5" width="72" style="1" bestFit="1" customWidth="1"/>
    <col min="6" max="6" width="12.7109375" style="6" hidden="1" customWidth="1"/>
    <col min="7" max="7" width="14.7109375" style="2" customWidth="1"/>
    <col min="8" max="8" width="10.28515625" style="55" customWidth="1"/>
    <col min="9" max="9" width="29.7109375" style="2" customWidth="1"/>
    <col min="10" max="16" width="9.140625" style="1" hidden="1" customWidth="1"/>
    <col min="17" max="17" width="17.5703125" style="1" customWidth="1"/>
    <col min="18" max="18" width="7.42578125" style="1" hidden="1" customWidth="1"/>
    <col min="19" max="16384" width="9.140625" style="1"/>
  </cols>
  <sheetData>
    <row r="1" spans="1:18" ht="11.1" customHeight="1" x14ac:dyDescent="0.2"/>
    <row r="2" spans="1:18" ht="11.1" customHeight="1" x14ac:dyDescent="0.2"/>
    <row r="3" spans="1:18" ht="11.1" customHeight="1" x14ac:dyDescent="0.2"/>
    <row r="4" spans="1:18" ht="11.1" customHeight="1" x14ac:dyDescent="0.2"/>
    <row r="5" spans="1:18" ht="11.1" customHeight="1" x14ac:dyDescent="0.2"/>
    <row r="6" spans="1:18" ht="15.6" customHeight="1" x14ac:dyDescent="0.2">
      <c r="Q6" s="932" t="s">
        <v>0</v>
      </c>
      <c r="R6" s="932"/>
    </row>
    <row r="7" spans="1:18" ht="15.75" customHeight="1" x14ac:dyDescent="0.25">
      <c r="Q7" s="954">
        <v>40178</v>
      </c>
      <c r="R7" s="954"/>
    </row>
    <row r="8" spans="1:18" ht="16.350000000000001" customHeight="1" thickBot="1" x14ac:dyDescent="0.3">
      <c r="A8" s="929" t="s">
        <v>1</v>
      </c>
      <c r="B8" s="929"/>
      <c r="C8" s="929"/>
      <c r="D8" s="929"/>
      <c r="E8" s="929"/>
      <c r="F8" s="929"/>
      <c r="G8" s="929"/>
      <c r="H8" s="929"/>
      <c r="I8" s="929"/>
      <c r="J8" s="929"/>
      <c r="K8" s="929"/>
      <c r="L8" s="929"/>
      <c r="M8" s="929"/>
      <c r="N8" s="929"/>
      <c r="O8" s="929"/>
      <c r="P8" s="929"/>
      <c r="Q8" s="929"/>
      <c r="R8" s="929"/>
    </row>
    <row r="9" spans="1:18" s="6" customFormat="1" ht="13.9" customHeight="1" thickTop="1" thickBot="1" x14ac:dyDescent="0.25">
      <c r="A9" s="930" t="s">
        <v>2</v>
      </c>
      <c r="B9" s="928" t="s">
        <v>3</v>
      </c>
      <c r="C9" s="928" t="s">
        <v>4</v>
      </c>
      <c r="D9" s="928" t="s">
        <v>5</v>
      </c>
      <c r="E9" s="928" t="s">
        <v>6</v>
      </c>
      <c r="F9" s="928" t="s">
        <v>240</v>
      </c>
      <c r="G9" s="928" t="s">
        <v>7</v>
      </c>
      <c r="H9" s="934" t="s">
        <v>8</v>
      </c>
      <c r="I9" s="928" t="s">
        <v>9</v>
      </c>
      <c r="J9" s="928" t="s">
        <v>10</v>
      </c>
      <c r="K9" s="931" t="s">
        <v>11</v>
      </c>
      <c r="L9" s="931"/>
      <c r="M9" s="931"/>
      <c r="N9" s="931"/>
      <c r="O9" s="931"/>
      <c r="P9" s="928" t="s">
        <v>12</v>
      </c>
      <c r="Q9" s="57" t="s">
        <v>242</v>
      </c>
      <c r="R9" s="926" t="s">
        <v>15</v>
      </c>
    </row>
    <row r="10" spans="1:18" s="6" customFormat="1" ht="13.9" customHeight="1" thickTop="1" thickBot="1" x14ac:dyDescent="0.25">
      <c r="A10" s="953"/>
      <c r="B10" s="933"/>
      <c r="C10" s="933"/>
      <c r="D10" s="933"/>
      <c r="E10" s="933"/>
      <c r="F10" s="933"/>
      <c r="G10" s="933"/>
      <c r="H10" s="951"/>
      <c r="I10" s="933"/>
      <c r="J10" s="933"/>
      <c r="K10" s="190" t="s">
        <v>16</v>
      </c>
      <c r="L10" s="190" t="s">
        <v>17</v>
      </c>
      <c r="M10" s="190" t="s">
        <v>18</v>
      </c>
      <c r="N10" s="190" t="s">
        <v>19</v>
      </c>
      <c r="O10" s="190" t="s">
        <v>20</v>
      </c>
      <c r="P10" s="933"/>
      <c r="Q10" s="189" t="s">
        <v>243</v>
      </c>
      <c r="R10" s="952"/>
    </row>
    <row r="11" spans="1:18" s="218" customFormat="1" ht="15.95" customHeight="1" x14ac:dyDescent="0.2">
      <c r="A11" s="205" t="s">
        <v>353</v>
      </c>
      <c r="B11" s="206" t="s">
        <v>23</v>
      </c>
      <c r="C11" s="206" t="s">
        <v>61</v>
      </c>
      <c r="D11" s="225" t="s">
        <v>260</v>
      </c>
      <c r="E11" s="225" t="s">
        <v>26</v>
      </c>
      <c r="F11" s="206" t="s">
        <v>262</v>
      </c>
      <c r="G11" s="226" t="s">
        <v>354</v>
      </c>
      <c r="H11" s="207">
        <v>39940</v>
      </c>
      <c r="I11" s="227" t="s">
        <v>355</v>
      </c>
      <c r="J11" s="219"/>
      <c r="K11" s="219"/>
      <c r="L11" s="219"/>
      <c r="M11" s="219"/>
      <c r="N11" s="219"/>
      <c r="O11" s="219"/>
      <c r="P11" s="219"/>
      <c r="Q11" s="228">
        <v>39576</v>
      </c>
      <c r="R11" s="208" t="s">
        <v>29</v>
      </c>
    </row>
    <row r="12" spans="1:18" s="218" customFormat="1" ht="15.95" customHeight="1" x14ac:dyDescent="0.2">
      <c r="A12" s="209" t="s">
        <v>574</v>
      </c>
      <c r="B12" s="191" t="s">
        <v>23</v>
      </c>
      <c r="C12" s="191" t="s">
        <v>372</v>
      </c>
      <c r="D12" s="197" t="s">
        <v>1056</v>
      </c>
      <c r="E12" s="197" t="s">
        <v>374</v>
      </c>
      <c r="F12" s="191"/>
      <c r="G12" s="198" t="s">
        <v>375</v>
      </c>
      <c r="H12" s="194">
        <v>40038</v>
      </c>
      <c r="I12" s="199" t="s">
        <v>376</v>
      </c>
      <c r="J12" s="195"/>
      <c r="K12" s="195"/>
      <c r="L12" s="195"/>
      <c r="M12" s="195"/>
      <c r="N12" s="195"/>
      <c r="O12" s="195"/>
      <c r="P12" s="195"/>
      <c r="Q12" s="200">
        <v>39674</v>
      </c>
      <c r="R12" s="210" t="s">
        <v>96</v>
      </c>
    </row>
    <row r="13" spans="1:18" s="218" customFormat="1" ht="15.95" customHeight="1" x14ac:dyDescent="0.2">
      <c r="A13" s="209" t="s">
        <v>259</v>
      </c>
      <c r="B13" s="191" t="s">
        <v>23</v>
      </c>
      <c r="C13" s="191" t="s">
        <v>24</v>
      </c>
      <c r="D13" s="197" t="s">
        <v>260</v>
      </c>
      <c r="E13" s="197" t="s">
        <v>261</v>
      </c>
      <c r="F13" s="191" t="s">
        <v>262</v>
      </c>
      <c r="G13" s="198" t="s">
        <v>522</v>
      </c>
      <c r="H13" s="202">
        <v>40086</v>
      </c>
      <c r="I13" s="199" t="s">
        <v>523</v>
      </c>
      <c r="J13" s="195"/>
      <c r="K13" s="195"/>
      <c r="L13" s="195"/>
      <c r="M13" s="195"/>
      <c r="N13" s="195"/>
      <c r="O13" s="195"/>
      <c r="P13" s="195"/>
      <c r="Q13" s="200">
        <v>39356</v>
      </c>
      <c r="R13" s="210" t="s">
        <v>34</v>
      </c>
    </row>
    <row r="14" spans="1:18" s="218" customFormat="1" ht="15.95" customHeight="1" x14ac:dyDescent="0.2">
      <c r="A14" s="209" t="s">
        <v>164</v>
      </c>
      <c r="B14" s="201" t="s">
        <v>165</v>
      </c>
      <c r="C14" s="191" t="s">
        <v>37</v>
      </c>
      <c r="D14" s="197" t="s">
        <v>303</v>
      </c>
      <c r="E14" s="197" t="s">
        <v>167</v>
      </c>
      <c r="F14" s="191" t="s">
        <v>304</v>
      </c>
      <c r="G14" s="198">
        <v>32246.69</v>
      </c>
      <c r="H14" s="202">
        <v>40175</v>
      </c>
      <c r="I14" s="199" t="s">
        <v>524</v>
      </c>
      <c r="J14" s="195"/>
      <c r="K14" s="195"/>
      <c r="L14" s="195"/>
      <c r="M14" s="195"/>
      <c r="N14" s="195"/>
      <c r="O14" s="195"/>
      <c r="P14" s="195"/>
      <c r="Q14" s="200">
        <v>39080</v>
      </c>
      <c r="R14" s="210" t="s">
        <v>169</v>
      </c>
    </row>
    <row r="15" spans="1:18" s="218" customFormat="1" ht="15.95" customHeight="1" x14ac:dyDescent="0.2">
      <c r="A15" s="209" t="s">
        <v>170</v>
      </c>
      <c r="B15" s="191" t="s">
        <v>23</v>
      </c>
      <c r="C15" s="191" t="s">
        <v>61</v>
      </c>
      <c r="D15" s="197" t="s">
        <v>171</v>
      </c>
      <c r="E15" s="197" t="s">
        <v>172</v>
      </c>
      <c r="F15" s="191" t="s">
        <v>306</v>
      </c>
      <c r="G15" s="198" t="s">
        <v>307</v>
      </c>
      <c r="H15" s="194">
        <v>40177</v>
      </c>
      <c r="I15" s="199" t="s">
        <v>406</v>
      </c>
      <c r="J15" s="195"/>
      <c r="K15" s="195"/>
      <c r="L15" s="195"/>
      <c r="M15" s="195"/>
      <c r="N15" s="195"/>
      <c r="O15" s="195"/>
      <c r="P15" s="195"/>
      <c r="Q15" s="200">
        <v>37985</v>
      </c>
      <c r="R15" s="210" t="s">
        <v>54</v>
      </c>
    </row>
    <row r="16" spans="1:18" s="217" customFormat="1" ht="15.95" customHeight="1" x14ac:dyDescent="0.2">
      <c r="A16" s="209" t="s">
        <v>622</v>
      </c>
      <c r="B16" s="191" t="s">
        <v>585</v>
      </c>
      <c r="C16" s="191" t="s">
        <v>37</v>
      </c>
      <c r="D16" s="197" t="s">
        <v>38</v>
      </c>
      <c r="E16" s="197" t="s">
        <v>623</v>
      </c>
      <c r="F16" s="191"/>
      <c r="G16" s="198">
        <v>75463</v>
      </c>
      <c r="H16" s="202">
        <v>40178</v>
      </c>
      <c r="I16" s="199" t="s">
        <v>624</v>
      </c>
      <c r="J16" s="195"/>
      <c r="K16" s="195"/>
      <c r="L16" s="195"/>
      <c r="M16" s="195"/>
      <c r="N16" s="195"/>
      <c r="O16" s="195"/>
      <c r="P16" s="195"/>
      <c r="Q16" s="200">
        <v>40057</v>
      </c>
      <c r="R16" s="210" t="s">
        <v>41</v>
      </c>
    </row>
    <row r="17" spans="1:18" s="217" customFormat="1" ht="15.95" customHeight="1" x14ac:dyDescent="0.2">
      <c r="A17" s="209" t="s">
        <v>309</v>
      </c>
      <c r="B17" s="196" t="s">
        <v>23</v>
      </c>
      <c r="C17" s="191" t="s">
        <v>61</v>
      </c>
      <c r="D17" s="197" t="s">
        <v>176</v>
      </c>
      <c r="E17" s="197" t="s">
        <v>310</v>
      </c>
      <c r="F17" s="191" t="s">
        <v>311</v>
      </c>
      <c r="G17" s="198">
        <v>15900</v>
      </c>
      <c r="H17" s="194">
        <v>40178</v>
      </c>
      <c r="I17" s="199" t="s">
        <v>407</v>
      </c>
      <c r="J17" s="195"/>
      <c r="K17" s="195"/>
      <c r="L17" s="195"/>
      <c r="M17" s="195"/>
      <c r="N17" s="195"/>
      <c r="O17" s="195"/>
      <c r="P17" s="195"/>
      <c r="Q17" s="200">
        <v>38749</v>
      </c>
      <c r="R17" s="210" t="s">
        <v>179</v>
      </c>
    </row>
    <row r="18" spans="1:18" s="217" customFormat="1" ht="15.95" customHeight="1" x14ac:dyDescent="0.2">
      <c r="A18" s="209" t="s">
        <v>184</v>
      </c>
      <c r="B18" s="201" t="s">
        <v>185</v>
      </c>
      <c r="C18" s="191" t="s">
        <v>37</v>
      </c>
      <c r="D18" s="197" t="s">
        <v>186</v>
      </c>
      <c r="E18" s="197" t="s">
        <v>187</v>
      </c>
      <c r="F18" s="191" t="s">
        <v>315</v>
      </c>
      <c r="G18" s="198">
        <v>74096.160000000003</v>
      </c>
      <c r="H18" s="194">
        <v>40193</v>
      </c>
      <c r="I18" s="199" t="s">
        <v>563</v>
      </c>
      <c r="J18" s="195"/>
      <c r="K18" s="195"/>
      <c r="L18" s="195"/>
      <c r="M18" s="195"/>
      <c r="N18" s="195"/>
      <c r="O18" s="195"/>
      <c r="P18" s="195"/>
      <c r="Q18" s="200">
        <v>38732</v>
      </c>
      <c r="R18" s="210" t="s">
        <v>169</v>
      </c>
    </row>
    <row r="19" spans="1:18" s="217" customFormat="1" ht="15.95" customHeight="1" x14ac:dyDescent="0.2">
      <c r="A19" s="209" t="s">
        <v>325</v>
      </c>
      <c r="B19" s="191" t="s">
        <v>23</v>
      </c>
      <c r="C19" s="191" t="s">
        <v>61</v>
      </c>
      <c r="D19" s="197" t="s">
        <v>180</v>
      </c>
      <c r="E19" s="197" t="s">
        <v>326</v>
      </c>
      <c r="F19" s="191" t="s">
        <v>327</v>
      </c>
      <c r="G19" s="198" t="s">
        <v>328</v>
      </c>
      <c r="H19" s="194">
        <v>40214</v>
      </c>
      <c r="I19" s="199" t="s">
        <v>513</v>
      </c>
      <c r="J19" s="195"/>
      <c r="K19" s="195"/>
      <c r="L19" s="195"/>
      <c r="M19" s="195"/>
      <c r="N19" s="195"/>
      <c r="O19" s="195"/>
      <c r="P19" s="195"/>
      <c r="Q19" s="200">
        <v>39484</v>
      </c>
      <c r="R19" s="210" t="s">
        <v>48</v>
      </c>
    </row>
    <row r="20" spans="1:18" s="217" customFormat="1" ht="15.95" customHeight="1" x14ac:dyDescent="0.2">
      <c r="A20" s="209" t="s">
        <v>518</v>
      </c>
      <c r="B20" s="201" t="s">
        <v>507</v>
      </c>
      <c r="C20" s="191" t="s">
        <v>613</v>
      </c>
      <c r="D20" s="197" t="s">
        <v>508</v>
      </c>
      <c r="E20" s="197" t="s">
        <v>509</v>
      </c>
      <c r="F20" s="191"/>
      <c r="G20" s="198">
        <v>25824.43</v>
      </c>
      <c r="H20" s="202">
        <v>40217</v>
      </c>
      <c r="I20" s="199" t="s">
        <v>510</v>
      </c>
      <c r="J20" s="195"/>
      <c r="K20" s="195"/>
      <c r="L20" s="195"/>
      <c r="M20" s="195"/>
      <c r="N20" s="195"/>
      <c r="O20" s="195"/>
      <c r="P20" s="195"/>
      <c r="Q20" s="200">
        <v>39853</v>
      </c>
      <c r="R20" s="210" t="s">
        <v>41</v>
      </c>
    </row>
    <row r="21" spans="1:18" s="217" customFormat="1" ht="15.95" customHeight="1" x14ac:dyDescent="0.2">
      <c r="A21" s="209" t="s">
        <v>193</v>
      </c>
      <c r="B21" s="191" t="s">
        <v>23</v>
      </c>
      <c r="C21" s="191" t="s">
        <v>56</v>
      </c>
      <c r="D21" s="197" t="s">
        <v>194</v>
      </c>
      <c r="E21" s="197" t="s">
        <v>195</v>
      </c>
      <c r="F21" s="191" t="s">
        <v>330</v>
      </c>
      <c r="G21" s="198">
        <v>15600</v>
      </c>
      <c r="H21" s="194">
        <v>40221</v>
      </c>
      <c r="I21" s="199" t="s">
        <v>519</v>
      </c>
      <c r="J21" s="195"/>
      <c r="K21" s="195"/>
      <c r="L21" s="195"/>
      <c r="M21" s="195"/>
      <c r="N21" s="195"/>
      <c r="O21" s="195"/>
      <c r="P21" s="195"/>
      <c r="Q21" s="200">
        <v>39125</v>
      </c>
      <c r="R21" s="210" t="s">
        <v>48</v>
      </c>
    </row>
    <row r="22" spans="1:18" s="217" customFormat="1" ht="15.95" customHeight="1" x14ac:dyDescent="0.2">
      <c r="A22" s="209" t="s">
        <v>197</v>
      </c>
      <c r="B22" s="191" t="s">
        <v>23</v>
      </c>
      <c r="C22" s="191" t="s">
        <v>56</v>
      </c>
      <c r="D22" s="197" t="s">
        <v>198</v>
      </c>
      <c r="E22" s="197" t="s">
        <v>337</v>
      </c>
      <c r="F22" s="191" t="s">
        <v>338</v>
      </c>
      <c r="G22" s="198">
        <v>2601.12</v>
      </c>
      <c r="H22" s="194">
        <v>40237</v>
      </c>
      <c r="I22" s="199" t="s">
        <v>514</v>
      </c>
      <c r="J22" s="195"/>
      <c r="K22" s="195"/>
      <c r="L22" s="195"/>
      <c r="M22" s="195"/>
      <c r="N22" s="195"/>
      <c r="O22" s="195"/>
      <c r="P22" s="195"/>
      <c r="Q22" s="200">
        <v>38412</v>
      </c>
      <c r="R22" s="210" t="s">
        <v>201</v>
      </c>
    </row>
    <row r="23" spans="1:18" s="217" customFormat="1" ht="15.95" customHeight="1" x14ac:dyDescent="0.2">
      <c r="A23" s="209" t="s">
        <v>610</v>
      </c>
      <c r="B23" s="191" t="s">
        <v>23</v>
      </c>
      <c r="C23" s="191" t="s">
        <v>56</v>
      </c>
      <c r="D23" s="197" t="s">
        <v>607</v>
      </c>
      <c r="E23" s="197" t="s">
        <v>608</v>
      </c>
      <c r="F23" s="191" t="s">
        <v>341</v>
      </c>
      <c r="G23" s="198">
        <v>15999.56</v>
      </c>
      <c r="H23" s="194">
        <v>40246</v>
      </c>
      <c r="I23" s="199" t="s">
        <v>609</v>
      </c>
      <c r="J23" s="195"/>
      <c r="K23" s="195"/>
      <c r="L23" s="195"/>
      <c r="M23" s="195"/>
      <c r="N23" s="195"/>
      <c r="O23" s="195"/>
      <c r="P23" s="195"/>
      <c r="Q23" s="200">
        <v>39882</v>
      </c>
      <c r="R23" s="210"/>
    </row>
    <row r="24" spans="1:18" s="217" customFormat="1" ht="15.95" customHeight="1" x14ac:dyDescent="0.2">
      <c r="A24" s="209" t="s">
        <v>511</v>
      </c>
      <c r="B24" s="191" t="s">
        <v>23</v>
      </c>
      <c r="C24" s="191" t="s">
        <v>56</v>
      </c>
      <c r="D24" s="197" t="s">
        <v>207</v>
      </c>
      <c r="E24" s="197" t="s">
        <v>208</v>
      </c>
      <c r="F24" s="191" t="s">
        <v>343</v>
      </c>
      <c r="G24" s="198" t="s">
        <v>209</v>
      </c>
      <c r="H24" s="194">
        <v>40253</v>
      </c>
      <c r="I24" s="199" t="s">
        <v>512</v>
      </c>
      <c r="J24" s="195"/>
      <c r="K24" s="195"/>
      <c r="L24" s="195"/>
      <c r="M24" s="195"/>
      <c r="N24" s="195"/>
      <c r="O24" s="195"/>
      <c r="P24" s="195"/>
      <c r="Q24" s="200">
        <v>39889</v>
      </c>
      <c r="R24" s="210" t="s">
        <v>48</v>
      </c>
    </row>
    <row r="25" spans="1:18" s="217" customFormat="1" ht="15.95" customHeight="1" x14ac:dyDescent="0.2">
      <c r="A25" s="209" t="s">
        <v>286</v>
      </c>
      <c r="B25" s="201" t="s">
        <v>251</v>
      </c>
      <c r="C25" s="191" t="s">
        <v>37</v>
      </c>
      <c r="D25" s="197" t="s">
        <v>287</v>
      </c>
      <c r="E25" s="197" t="s">
        <v>288</v>
      </c>
      <c r="F25" s="191" t="s">
        <v>246</v>
      </c>
      <c r="G25" s="198" t="s">
        <v>289</v>
      </c>
      <c r="H25" s="202">
        <v>40273</v>
      </c>
      <c r="I25" s="199" t="s">
        <v>626</v>
      </c>
      <c r="J25" s="195"/>
      <c r="K25" s="195"/>
      <c r="L25" s="195"/>
      <c r="M25" s="195"/>
      <c r="N25" s="195"/>
      <c r="O25" s="195"/>
      <c r="P25" s="195"/>
      <c r="Q25" s="200">
        <v>39300</v>
      </c>
      <c r="R25" s="210" t="s">
        <v>201</v>
      </c>
    </row>
    <row r="26" spans="1:18" s="217" customFormat="1" ht="15.95" customHeight="1" x14ac:dyDescent="0.2">
      <c r="A26" s="209" t="s">
        <v>35</v>
      </c>
      <c r="B26" s="203" t="s">
        <v>36</v>
      </c>
      <c r="C26" s="191" t="s">
        <v>37</v>
      </c>
      <c r="D26" s="197" t="s">
        <v>38</v>
      </c>
      <c r="E26" s="197" t="s">
        <v>39</v>
      </c>
      <c r="F26" s="191" t="s">
        <v>345</v>
      </c>
      <c r="G26" s="198">
        <v>91290</v>
      </c>
      <c r="H26" s="194">
        <v>40274</v>
      </c>
      <c r="I26" s="199" t="s">
        <v>573</v>
      </c>
      <c r="J26" s="195"/>
      <c r="K26" s="195"/>
      <c r="L26" s="195"/>
      <c r="M26" s="195"/>
      <c r="N26" s="195"/>
      <c r="O26" s="195"/>
      <c r="P26" s="195"/>
      <c r="Q26" s="200">
        <v>38084</v>
      </c>
      <c r="R26" s="210" t="s">
        <v>41</v>
      </c>
    </row>
    <row r="27" spans="1:18" s="217" customFormat="1" ht="15.95" customHeight="1" x14ac:dyDescent="0.2">
      <c r="A27" s="211" t="s">
        <v>583</v>
      </c>
      <c r="B27" s="191" t="s">
        <v>23</v>
      </c>
      <c r="C27" s="191" t="s">
        <v>61</v>
      </c>
      <c r="D27" s="197" t="s">
        <v>50</v>
      </c>
      <c r="E27" s="197" t="s">
        <v>51</v>
      </c>
      <c r="F27" s="191" t="s">
        <v>347</v>
      </c>
      <c r="G27" s="198" t="s">
        <v>571</v>
      </c>
      <c r="H27" s="194">
        <v>40290</v>
      </c>
      <c r="I27" s="199" t="s">
        <v>572</v>
      </c>
      <c r="J27" s="195"/>
      <c r="K27" s="195"/>
      <c r="L27" s="195"/>
      <c r="M27" s="195"/>
      <c r="N27" s="195"/>
      <c r="O27" s="195"/>
      <c r="P27" s="195"/>
      <c r="Q27" s="200">
        <v>39926</v>
      </c>
      <c r="R27" s="210" t="s">
        <v>169</v>
      </c>
    </row>
    <row r="28" spans="1:18" s="217" customFormat="1" ht="15.95" customHeight="1" x14ac:dyDescent="0.2">
      <c r="A28" s="209" t="s">
        <v>593</v>
      </c>
      <c r="B28" s="201" t="s">
        <v>23</v>
      </c>
      <c r="C28" s="191" t="s">
        <v>56</v>
      </c>
      <c r="D28" s="197" t="s">
        <v>594</v>
      </c>
      <c r="E28" s="197" t="s">
        <v>595</v>
      </c>
      <c r="F28" s="191"/>
      <c r="G28" s="198">
        <v>7200</v>
      </c>
      <c r="H28" s="194">
        <v>40323</v>
      </c>
      <c r="I28" s="199" t="s">
        <v>596</v>
      </c>
      <c r="J28" s="195"/>
      <c r="K28" s="195"/>
      <c r="L28" s="195"/>
      <c r="M28" s="195"/>
      <c r="N28" s="195"/>
      <c r="O28" s="195"/>
      <c r="P28" s="195"/>
      <c r="Q28" s="200">
        <v>39959</v>
      </c>
      <c r="R28" s="210" t="s">
        <v>41</v>
      </c>
    </row>
    <row r="29" spans="1:18" s="217" customFormat="1" ht="15.95" customHeight="1" x14ac:dyDescent="0.2">
      <c r="A29" s="209" t="s">
        <v>589</v>
      </c>
      <c r="B29" s="191" t="s">
        <v>590</v>
      </c>
      <c r="C29" s="191" t="s">
        <v>56</v>
      </c>
      <c r="D29" s="197" t="s">
        <v>138</v>
      </c>
      <c r="E29" s="197" t="s">
        <v>591</v>
      </c>
      <c r="F29" s="191"/>
      <c r="G29" s="198" t="s">
        <v>282</v>
      </c>
      <c r="H29" s="194">
        <v>40337</v>
      </c>
      <c r="I29" s="199" t="s">
        <v>592</v>
      </c>
      <c r="J29" s="195"/>
      <c r="K29" s="195"/>
      <c r="L29" s="195"/>
      <c r="M29" s="195"/>
      <c r="N29" s="195"/>
      <c r="O29" s="195"/>
      <c r="P29" s="195"/>
      <c r="Q29" s="200">
        <v>39973</v>
      </c>
      <c r="R29" s="210" t="s">
        <v>48</v>
      </c>
    </row>
    <row r="30" spans="1:18" s="217" customFormat="1" ht="15.95" customHeight="1" x14ac:dyDescent="0.2">
      <c r="A30" s="209" t="s">
        <v>579</v>
      </c>
      <c r="B30" s="191" t="s">
        <v>23</v>
      </c>
      <c r="C30" s="191" t="s">
        <v>56</v>
      </c>
      <c r="D30" s="197" t="s">
        <v>580</v>
      </c>
      <c r="E30" s="197" t="s">
        <v>581</v>
      </c>
      <c r="F30" s="191" t="s">
        <v>323</v>
      </c>
      <c r="G30" s="198">
        <f>170*12</f>
        <v>2040</v>
      </c>
      <c r="H30" s="194">
        <v>40343</v>
      </c>
      <c r="I30" s="199" t="s">
        <v>582</v>
      </c>
      <c r="J30" s="195"/>
      <c r="K30" s="195"/>
      <c r="L30" s="195"/>
      <c r="M30" s="195"/>
      <c r="N30" s="195"/>
      <c r="O30" s="195"/>
      <c r="P30" s="195"/>
      <c r="Q30" s="200">
        <v>38385</v>
      </c>
      <c r="R30" s="210" t="s">
        <v>48</v>
      </c>
    </row>
    <row r="31" spans="1:18" s="217" customFormat="1" ht="15.95" customHeight="1" x14ac:dyDescent="0.2">
      <c r="A31" s="209" t="s">
        <v>360</v>
      </c>
      <c r="B31" s="191" t="s">
        <v>23</v>
      </c>
      <c r="C31" s="191" t="s">
        <v>61</v>
      </c>
      <c r="D31" s="197" t="s">
        <v>212</v>
      </c>
      <c r="E31" s="197" t="s">
        <v>361</v>
      </c>
      <c r="F31" s="191"/>
      <c r="G31" s="198">
        <v>6156</v>
      </c>
      <c r="H31" s="194">
        <v>40347</v>
      </c>
      <c r="I31" s="199" t="s">
        <v>576</v>
      </c>
      <c r="J31" s="195"/>
      <c r="K31" s="195"/>
      <c r="L31" s="195"/>
      <c r="M31" s="195"/>
      <c r="N31" s="195"/>
      <c r="O31" s="195"/>
      <c r="P31" s="195"/>
      <c r="Q31" s="200">
        <v>39617</v>
      </c>
      <c r="R31" s="210" t="s">
        <v>48</v>
      </c>
    </row>
    <row r="32" spans="1:18" s="217" customFormat="1" ht="15.95" customHeight="1" x14ac:dyDescent="0.2">
      <c r="A32" s="209" t="s">
        <v>356</v>
      </c>
      <c r="B32" s="191" t="s">
        <v>23</v>
      </c>
      <c r="C32" s="191" t="s">
        <v>61</v>
      </c>
      <c r="D32" s="197" t="s">
        <v>62</v>
      </c>
      <c r="E32" s="197" t="s">
        <v>357</v>
      </c>
      <c r="F32" s="191" t="s">
        <v>358</v>
      </c>
      <c r="G32" s="198">
        <v>8004.24</v>
      </c>
      <c r="H32" s="194">
        <v>40349</v>
      </c>
      <c r="I32" s="199" t="s">
        <v>575</v>
      </c>
      <c r="J32" s="195"/>
      <c r="K32" s="195"/>
      <c r="L32" s="195"/>
      <c r="M32" s="195"/>
      <c r="N32" s="195"/>
      <c r="O32" s="195"/>
      <c r="P32" s="195"/>
      <c r="Q32" s="200">
        <v>39619</v>
      </c>
      <c r="R32" s="210" t="s">
        <v>48</v>
      </c>
    </row>
    <row r="33" spans="1:18" s="217" customFormat="1" ht="15.95" customHeight="1" x14ac:dyDescent="0.2">
      <c r="A33" s="209" t="s">
        <v>363</v>
      </c>
      <c r="B33" s="201" t="s">
        <v>364</v>
      </c>
      <c r="C33" s="191" t="s">
        <v>37</v>
      </c>
      <c r="D33" s="197" t="s">
        <v>365</v>
      </c>
      <c r="E33" s="197" t="s">
        <v>366</v>
      </c>
      <c r="F33" s="191" t="s">
        <v>367</v>
      </c>
      <c r="G33" s="198">
        <v>23172</v>
      </c>
      <c r="H33" s="194">
        <v>40383</v>
      </c>
      <c r="I33" s="199" t="s">
        <v>577</v>
      </c>
      <c r="J33" s="195"/>
      <c r="K33" s="195"/>
      <c r="L33" s="195"/>
      <c r="M33" s="195"/>
      <c r="N33" s="195"/>
      <c r="O33" s="195"/>
      <c r="P33" s="195"/>
      <c r="Q33" s="200">
        <v>39288</v>
      </c>
      <c r="R33" s="210" t="s">
        <v>96</v>
      </c>
    </row>
    <row r="34" spans="1:18" s="217" customFormat="1" ht="15.95" customHeight="1" x14ac:dyDescent="0.2">
      <c r="A34" s="209" t="s">
        <v>87</v>
      </c>
      <c r="B34" s="191" t="s">
        <v>23</v>
      </c>
      <c r="C34" s="191" t="s">
        <v>56</v>
      </c>
      <c r="D34" s="197" t="s">
        <v>88</v>
      </c>
      <c r="E34" s="197" t="s">
        <v>89</v>
      </c>
      <c r="F34" s="191" t="s">
        <v>369</v>
      </c>
      <c r="G34" s="198">
        <v>14400</v>
      </c>
      <c r="H34" s="194">
        <v>40390</v>
      </c>
      <c r="I34" s="199" t="s">
        <v>578</v>
      </c>
      <c r="J34" s="195"/>
      <c r="K34" s="195"/>
      <c r="L34" s="195"/>
      <c r="M34" s="195"/>
      <c r="N34" s="195"/>
      <c r="O34" s="195"/>
      <c r="P34" s="195"/>
      <c r="Q34" s="200">
        <v>38989</v>
      </c>
      <c r="R34" s="210" t="s">
        <v>48</v>
      </c>
    </row>
    <row r="35" spans="1:18" s="217" customFormat="1" ht="15.95" customHeight="1" x14ac:dyDescent="0.2">
      <c r="A35" s="209" t="s">
        <v>599</v>
      </c>
      <c r="B35" s="191" t="s">
        <v>600</v>
      </c>
      <c r="C35" s="191" t="s">
        <v>613</v>
      </c>
      <c r="D35" s="197" t="s">
        <v>601</v>
      </c>
      <c r="E35" s="197" t="s">
        <v>602</v>
      </c>
      <c r="F35" s="191"/>
      <c r="G35" s="198">
        <v>260000</v>
      </c>
      <c r="H35" s="202">
        <v>40400</v>
      </c>
      <c r="I35" s="199" t="s">
        <v>603</v>
      </c>
      <c r="J35" s="195"/>
      <c r="K35" s="195"/>
      <c r="L35" s="195"/>
      <c r="M35" s="195"/>
      <c r="N35" s="195"/>
      <c r="O35" s="195"/>
      <c r="P35" s="195"/>
      <c r="Q35" s="200">
        <v>40036</v>
      </c>
      <c r="R35" s="210" t="s">
        <v>48</v>
      </c>
    </row>
    <row r="36" spans="1:18" s="217" customFormat="1" ht="15.95" customHeight="1" x14ac:dyDescent="0.2">
      <c r="A36" s="209" t="s">
        <v>584</v>
      </c>
      <c r="B36" s="201" t="s">
        <v>585</v>
      </c>
      <c r="C36" s="191" t="s">
        <v>613</v>
      </c>
      <c r="D36" s="197" t="s">
        <v>586</v>
      </c>
      <c r="E36" s="197" t="s">
        <v>587</v>
      </c>
      <c r="F36" s="191"/>
      <c r="G36" s="198">
        <v>822624</v>
      </c>
      <c r="H36" s="194">
        <v>40401</v>
      </c>
      <c r="I36" s="199" t="s">
        <v>588</v>
      </c>
      <c r="J36" s="195"/>
      <c r="K36" s="195"/>
      <c r="L36" s="195"/>
      <c r="M36" s="195"/>
      <c r="N36" s="195"/>
      <c r="O36" s="195"/>
      <c r="P36" s="195"/>
      <c r="Q36" s="200">
        <v>40037</v>
      </c>
      <c r="R36" s="210" t="s">
        <v>96</v>
      </c>
    </row>
    <row r="37" spans="1:18" s="217" customFormat="1" ht="15.95" customHeight="1" x14ac:dyDescent="0.2">
      <c r="A37" s="209" t="s">
        <v>488</v>
      </c>
      <c r="B37" s="201" t="s">
        <v>251</v>
      </c>
      <c r="C37" s="191" t="s">
        <v>613</v>
      </c>
      <c r="D37" s="197" t="s">
        <v>44</v>
      </c>
      <c r="E37" s="197" t="s">
        <v>252</v>
      </c>
      <c r="F37" s="191" t="s">
        <v>253</v>
      </c>
      <c r="G37" s="198">
        <v>142451.76</v>
      </c>
      <c r="H37" s="194">
        <v>40423</v>
      </c>
      <c r="I37" s="199" t="s">
        <v>611</v>
      </c>
      <c r="J37" s="195"/>
      <c r="K37" s="195"/>
      <c r="L37" s="195"/>
      <c r="M37" s="195"/>
      <c r="N37" s="195"/>
      <c r="O37" s="195"/>
      <c r="P37" s="195"/>
      <c r="Q37" s="200">
        <v>39328</v>
      </c>
      <c r="R37" s="210" t="s">
        <v>48</v>
      </c>
    </row>
    <row r="38" spans="1:18" s="217" customFormat="1" ht="15.95" customHeight="1" x14ac:dyDescent="0.2">
      <c r="A38" s="209" t="s">
        <v>97</v>
      </c>
      <c r="B38" s="191" t="s">
        <v>23</v>
      </c>
      <c r="C38" s="191" t="s">
        <v>61</v>
      </c>
      <c r="D38" s="197" t="s">
        <v>98</v>
      </c>
      <c r="E38" s="197" t="s">
        <v>99</v>
      </c>
      <c r="F38" s="191" t="s">
        <v>255</v>
      </c>
      <c r="G38" s="198" t="s">
        <v>100</v>
      </c>
      <c r="H38" s="194">
        <v>40440</v>
      </c>
      <c r="I38" s="199" t="s">
        <v>597</v>
      </c>
      <c r="J38" s="195"/>
      <c r="K38" s="195"/>
      <c r="L38" s="195"/>
      <c r="M38" s="195"/>
      <c r="N38" s="195"/>
      <c r="O38" s="195"/>
      <c r="P38" s="195"/>
      <c r="Q38" s="200">
        <v>38249</v>
      </c>
      <c r="R38" s="210" t="s">
        <v>48</v>
      </c>
    </row>
    <row r="39" spans="1:18" s="217" customFormat="1" ht="15.95" customHeight="1" x14ac:dyDescent="0.2">
      <c r="A39" s="209" t="s">
        <v>515</v>
      </c>
      <c r="B39" s="201" t="s">
        <v>23</v>
      </c>
      <c r="C39" s="191" t="s">
        <v>56</v>
      </c>
      <c r="D39" s="197" t="s">
        <v>516</v>
      </c>
      <c r="E39" s="197" t="s">
        <v>517</v>
      </c>
      <c r="F39" s="191"/>
      <c r="G39" s="198">
        <v>15703.32</v>
      </c>
      <c r="H39" s="202">
        <v>40451</v>
      </c>
      <c r="I39" s="199" t="s">
        <v>647</v>
      </c>
      <c r="J39" s="195"/>
      <c r="K39" s="195"/>
      <c r="L39" s="195"/>
      <c r="M39" s="195"/>
      <c r="N39" s="195"/>
      <c r="O39" s="195"/>
      <c r="P39" s="195"/>
      <c r="Q39" s="200">
        <v>39722</v>
      </c>
      <c r="R39" s="210" t="s">
        <v>96</v>
      </c>
    </row>
    <row r="40" spans="1:18" s="217" customFormat="1" ht="15.95" customHeight="1" x14ac:dyDescent="0.2">
      <c r="A40" s="209" t="s">
        <v>616</v>
      </c>
      <c r="B40" s="191" t="s">
        <v>600</v>
      </c>
      <c r="C40" s="191" t="s">
        <v>617</v>
      </c>
      <c r="D40" s="197" t="s">
        <v>618</v>
      </c>
      <c r="E40" s="197" t="s">
        <v>619</v>
      </c>
      <c r="F40" s="191"/>
      <c r="G40" s="198" t="s">
        <v>620</v>
      </c>
      <c r="H40" s="202">
        <v>40459</v>
      </c>
      <c r="I40" s="199" t="s">
        <v>621</v>
      </c>
      <c r="J40" s="195"/>
      <c r="K40" s="195"/>
      <c r="L40" s="195"/>
      <c r="M40" s="195"/>
      <c r="N40" s="195"/>
      <c r="O40" s="195"/>
      <c r="P40" s="195"/>
      <c r="Q40" s="200">
        <v>40095</v>
      </c>
      <c r="R40" s="210" t="s">
        <v>48</v>
      </c>
    </row>
    <row r="41" spans="1:18" s="217" customFormat="1" ht="15.95" customHeight="1" x14ac:dyDescent="0.2">
      <c r="A41" s="209" t="s">
        <v>115</v>
      </c>
      <c r="B41" s="191" t="s">
        <v>23</v>
      </c>
      <c r="C41" s="191" t="s">
        <v>56</v>
      </c>
      <c r="D41" s="197" t="s">
        <v>116</v>
      </c>
      <c r="E41" s="197" t="s">
        <v>117</v>
      </c>
      <c r="F41" s="191" t="s">
        <v>266</v>
      </c>
      <c r="G41" s="204">
        <v>5521.6</v>
      </c>
      <c r="H41" s="202">
        <v>40475</v>
      </c>
      <c r="I41" s="199" t="s">
        <v>612</v>
      </c>
      <c r="J41" s="195"/>
      <c r="K41" s="195"/>
      <c r="L41" s="195"/>
      <c r="M41" s="195"/>
      <c r="N41" s="195"/>
      <c r="O41" s="195"/>
      <c r="P41" s="195"/>
      <c r="Q41" s="200">
        <v>39015</v>
      </c>
      <c r="R41" s="210" t="s">
        <v>96</v>
      </c>
    </row>
    <row r="42" spans="1:18" s="217" customFormat="1" ht="15.95" customHeight="1" x14ac:dyDescent="0.2">
      <c r="A42" s="209" t="s">
        <v>119</v>
      </c>
      <c r="B42" s="191" t="s">
        <v>23</v>
      </c>
      <c r="C42" s="191" t="s">
        <v>61</v>
      </c>
      <c r="D42" s="197" t="s">
        <v>268</v>
      </c>
      <c r="E42" s="197" t="s">
        <v>604</v>
      </c>
      <c r="F42" s="191" t="s">
        <v>269</v>
      </c>
      <c r="G42" s="198" t="s">
        <v>605</v>
      </c>
      <c r="H42" s="202">
        <v>40477</v>
      </c>
      <c r="I42" s="199" t="s">
        <v>606</v>
      </c>
      <c r="J42" s="195"/>
      <c r="K42" s="195"/>
      <c r="L42" s="195"/>
      <c r="M42" s="195"/>
      <c r="N42" s="195"/>
      <c r="O42" s="195"/>
      <c r="P42" s="195"/>
      <c r="Q42" s="200">
        <v>38652</v>
      </c>
      <c r="R42" s="210" t="s">
        <v>96</v>
      </c>
    </row>
    <row r="43" spans="1:18" s="217" customFormat="1" ht="15.95" customHeight="1" x14ac:dyDescent="0.2">
      <c r="A43" s="209" t="s">
        <v>124</v>
      </c>
      <c r="B43" s="191" t="s">
        <v>23</v>
      </c>
      <c r="C43" s="191" t="s">
        <v>56</v>
      </c>
      <c r="D43" s="197" t="s">
        <v>125</v>
      </c>
      <c r="E43" s="197" t="s">
        <v>126</v>
      </c>
      <c r="F43" s="191" t="s">
        <v>276</v>
      </c>
      <c r="G43" s="198">
        <v>11276.16</v>
      </c>
      <c r="H43" s="194">
        <v>40482</v>
      </c>
      <c r="I43" s="199" t="s">
        <v>598</v>
      </c>
      <c r="J43" s="195"/>
      <c r="K43" s="195"/>
      <c r="L43" s="195"/>
      <c r="M43" s="195"/>
      <c r="N43" s="195"/>
      <c r="O43" s="195"/>
      <c r="P43" s="195"/>
      <c r="Q43" s="200">
        <v>39022</v>
      </c>
      <c r="R43" s="210" t="s">
        <v>48</v>
      </c>
    </row>
    <row r="44" spans="1:18" s="217" customFormat="1" ht="15.95" customHeight="1" x14ac:dyDescent="0.2">
      <c r="A44" s="209" t="s">
        <v>397</v>
      </c>
      <c r="B44" s="191" t="s">
        <v>398</v>
      </c>
      <c r="C44" s="191" t="s">
        <v>613</v>
      </c>
      <c r="D44" s="197" t="s">
        <v>399</v>
      </c>
      <c r="E44" s="197" t="s">
        <v>400</v>
      </c>
      <c r="F44" s="191"/>
      <c r="G44" s="198" t="s">
        <v>401</v>
      </c>
      <c r="H44" s="194">
        <v>40484</v>
      </c>
      <c r="I44" s="199" t="s">
        <v>614</v>
      </c>
      <c r="J44" s="195"/>
      <c r="K44" s="195"/>
      <c r="L44" s="195"/>
      <c r="M44" s="195"/>
      <c r="N44" s="195"/>
      <c r="O44" s="195"/>
      <c r="P44" s="195"/>
      <c r="Q44" s="200">
        <v>39755</v>
      </c>
      <c r="R44" s="210" t="s">
        <v>48</v>
      </c>
    </row>
    <row r="45" spans="1:18" s="217" customFormat="1" ht="15.95" customHeight="1" x14ac:dyDescent="0.2">
      <c r="A45" s="209" t="s">
        <v>137</v>
      </c>
      <c r="B45" s="191" t="s">
        <v>23</v>
      </c>
      <c r="C45" s="191" t="s">
        <v>56</v>
      </c>
      <c r="D45" s="197" t="s">
        <v>138</v>
      </c>
      <c r="E45" s="197" t="s">
        <v>139</v>
      </c>
      <c r="F45" s="191" t="s">
        <v>281</v>
      </c>
      <c r="G45" s="198" t="s">
        <v>402</v>
      </c>
      <c r="H45" s="194">
        <v>40497</v>
      </c>
      <c r="I45" s="199" t="s">
        <v>615</v>
      </c>
      <c r="J45" s="195"/>
      <c r="K45" s="195"/>
      <c r="L45" s="195"/>
      <c r="M45" s="195"/>
      <c r="N45" s="195"/>
      <c r="O45" s="195"/>
      <c r="P45" s="195"/>
      <c r="Q45" s="200">
        <v>39037</v>
      </c>
      <c r="R45" s="210" t="s">
        <v>48</v>
      </c>
    </row>
    <row r="46" spans="1:18" s="217" customFormat="1" ht="15.95" customHeight="1" x14ac:dyDescent="0.2">
      <c r="A46" s="209" t="s">
        <v>631</v>
      </c>
      <c r="B46" s="191" t="s">
        <v>632</v>
      </c>
      <c r="C46" s="191" t="s">
        <v>37</v>
      </c>
      <c r="D46" s="192" t="s">
        <v>633</v>
      </c>
      <c r="E46" s="192" t="s">
        <v>634</v>
      </c>
      <c r="F46" s="191"/>
      <c r="G46" s="193">
        <v>144000</v>
      </c>
      <c r="H46" s="194">
        <v>40504</v>
      </c>
      <c r="I46" s="191" t="s">
        <v>635</v>
      </c>
      <c r="J46" s="191"/>
      <c r="K46" s="195"/>
      <c r="L46" s="195"/>
      <c r="M46" s="195"/>
      <c r="N46" s="195"/>
      <c r="O46" s="195"/>
      <c r="P46" s="191"/>
      <c r="Q46" s="220">
        <v>40140</v>
      </c>
      <c r="R46" s="210" t="s">
        <v>48</v>
      </c>
    </row>
    <row r="47" spans="1:18" s="217" customFormat="1" ht="15.95" customHeight="1" x14ac:dyDescent="0.2">
      <c r="A47" s="209" t="s">
        <v>628</v>
      </c>
      <c r="B47" s="191" t="s">
        <v>585</v>
      </c>
      <c r="C47" s="191" t="s">
        <v>617</v>
      </c>
      <c r="D47" s="192" t="s">
        <v>44</v>
      </c>
      <c r="E47" s="192" t="s">
        <v>629</v>
      </c>
      <c r="F47" s="191"/>
      <c r="G47" s="193">
        <v>35900</v>
      </c>
      <c r="H47" s="194">
        <v>40511</v>
      </c>
      <c r="I47" s="191" t="s">
        <v>630</v>
      </c>
      <c r="J47" s="191"/>
      <c r="K47" s="195"/>
      <c r="L47" s="195"/>
      <c r="M47" s="195"/>
      <c r="N47" s="195"/>
      <c r="O47" s="195"/>
      <c r="P47" s="191"/>
      <c r="Q47" s="220">
        <v>40147</v>
      </c>
      <c r="R47" s="210" t="s">
        <v>48</v>
      </c>
    </row>
    <row r="48" spans="1:18" s="217" customFormat="1" ht="15.95" customHeight="1" x14ac:dyDescent="0.2">
      <c r="A48" s="209"/>
      <c r="B48" s="191"/>
      <c r="C48" s="191"/>
      <c r="D48" s="192" t="s">
        <v>644</v>
      </c>
      <c r="E48" s="192" t="s">
        <v>645</v>
      </c>
      <c r="F48" s="191"/>
      <c r="G48" s="193">
        <v>20400</v>
      </c>
      <c r="H48" s="194">
        <v>40529</v>
      </c>
      <c r="I48" s="191" t="s">
        <v>646</v>
      </c>
      <c r="J48" s="191"/>
      <c r="K48" s="195"/>
      <c r="L48" s="195"/>
      <c r="M48" s="195"/>
      <c r="N48" s="195"/>
      <c r="O48" s="195"/>
      <c r="P48" s="191"/>
      <c r="Q48" s="220">
        <v>40165</v>
      </c>
      <c r="R48" s="210" t="s">
        <v>48</v>
      </c>
    </row>
    <row r="49" spans="1:23" s="217" customFormat="1" ht="15.95" customHeight="1" x14ac:dyDescent="0.2">
      <c r="A49" s="209" t="s">
        <v>294</v>
      </c>
      <c r="B49" s="191" t="s">
        <v>23</v>
      </c>
      <c r="C49" s="191" t="s">
        <v>56</v>
      </c>
      <c r="D49" s="197" t="s">
        <v>295</v>
      </c>
      <c r="E49" s="197" t="s">
        <v>296</v>
      </c>
      <c r="F49" s="191" t="s">
        <v>297</v>
      </c>
      <c r="G49" s="198">
        <v>6600</v>
      </c>
      <c r="H49" s="194">
        <v>40530</v>
      </c>
      <c r="I49" s="199" t="s">
        <v>627</v>
      </c>
      <c r="J49" s="195"/>
      <c r="K49" s="195"/>
      <c r="L49" s="195"/>
      <c r="M49" s="195"/>
      <c r="N49" s="195"/>
      <c r="O49" s="195"/>
      <c r="P49" s="195"/>
      <c r="Q49" s="200">
        <v>39435</v>
      </c>
      <c r="R49" s="210" t="s">
        <v>48</v>
      </c>
    </row>
    <row r="50" spans="1:23" s="217" customFormat="1" ht="15.95" customHeight="1" x14ac:dyDescent="0.2">
      <c r="A50" s="209" t="s">
        <v>640</v>
      </c>
      <c r="B50" s="191"/>
      <c r="C50" s="191"/>
      <c r="D50" s="192" t="s">
        <v>641</v>
      </c>
      <c r="E50" s="192" t="s">
        <v>642</v>
      </c>
      <c r="F50" s="191"/>
      <c r="G50" s="193">
        <v>26727</v>
      </c>
      <c r="H50" s="194">
        <v>40532</v>
      </c>
      <c r="I50" s="191" t="s">
        <v>643</v>
      </c>
      <c r="J50" s="191"/>
      <c r="K50" s="195"/>
      <c r="L50" s="195"/>
      <c r="M50" s="195"/>
      <c r="N50" s="195"/>
      <c r="O50" s="195"/>
      <c r="P50" s="191"/>
      <c r="Q50" s="220">
        <v>40168</v>
      </c>
      <c r="R50" s="210" t="s">
        <v>48</v>
      </c>
    </row>
    <row r="51" spans="1:23" s="217" customFormat="1" ht="15.95" customHeight="1" x14ac:dyDescent="0.2">
      <c r="A51" s="209" t="s">
        <v>636</v>
      </c>
      <c r="B51" s="191"/>
      <c r="C51" s="191" t="s">
        <v>617</v>
      </c>
      <c r="D51" s="192" t="s">
        <v>637</v>
      </c>
      <c r="E51" s="192" t="s">
        <v>638</v>
      </c>
      <c r="F51" s="191"/>
      <c r="G51" s="193">
        <v>26882.400000000001</v>
      </c>
      <c r="H51" s="194">
        <v>40533</v>
      </c>
      <c r="I51" s="191" t="s">
        <v>639</v>
      </c>
      <c r="J51" s="191"/>
      <c r="K51" s="195"/>
      <c r="L51" s="195"/>
      <c r="M51" s="195"/>
      <c r="N51" s="195"/>
      <c r="O51" s="195"/>
      <c r="P51" s="191"/>
      <c r="Q51" s="220">
        <v>40169</v>
      </c>
      <c r="R51" s="210" t="s">
        <v>41</v>
      </c>
    </row>
    <row r="52" spans="1:23" s="217" customFormat="1" ht="15.95" customHeight="1" x14ac:dyDescent="0.2">
      <c r="A52" s="209" t="s">
        <v>299</v>
      </c>
      <c r="B52" s="191" t="s">
        <v>23</v>
      </c>
      <c r="C52" s="191" t="s">
        <v>61</v>
      </c>
      <c r="D52" s="197" t="s">
        <v>212</v>
      </c>
      <c r="E52" s="197" t="s">
        <v>300</v>
      </c>
      <c r="F52" s="191" t="s">
        <v>301</v>
      </c>
      <c r="G52" s="198">
        <v>13266.24</v>
      </c>
      <c r="H52" s="194">
        <v>40539</v>
      </c>
      <c r="I52" s="199" t="s">
        <v>648</v>
      </c>
      <c r="J52" s="195"/>
      <c r="K52" s="195"/>
      <c r="L52" s="195"/>
      <c r="M52" s="195"/>
      <c r="N52" s="195"/>
      <c r="O52" s="195"/>
      <c r="P52" s="195"/>
      <c r="Q52" s="200">
        <v>39444</v>
      </c>
      <c r="R52" s="210" t="s">
        <v>48</v>
      </c>
    </row>
    <row r="53" spans="1:23" s="217" customFormat="1" ht="15.95" customHeight="1" x14ac:dyDescent="0.2">
      <c r="A53" s="209" t="s">
        <v>318</v>
      </c>
      <c r="B53" s="191" t="s">
        <v>23</v>
      </c>
      <c r="C53" s="191" t="s">
        <v>56</v>
      </c>
      <c r="D53" s="197" t="s">
        <v>83</v>
      </c>
      <c r="E53" s="197" t="s">
        <v>319</v>
      </c>
      <c r="F53" s="191" t="s">
        <v>320</v>
      </c>
      <c r="G53" s="198" t="s">
        <v>321</v>
      </c>
      <c r="H53" s="194">
        <v>40545</v>
      </c>
      <c r="I53" s="199" t="s">
        <v>625</v>
      </c>
      <c r="J53" s="195"/>
      <c r="K53" s="195"/>
      <c r="L53" s="195"/>
      <c r="M53" s="195"/>
      <c r="N53" s="195"/>
      <c r="O53" s="195"/>
      <c r="P53" s="195"/>
      <c r="Q53" s="200">
        <v>39480</v>
      </c>
      <c r="R53" s="210" t="s">
        <v>48</v>
      </c>
    </row>
    <row r="54" spans="1:23" s="217" customFormat="1" ht="15.95" customHeight="1" x14ac:dyDescent="0.2">
      <c r="A54" s="209" t="s">
        <v>377</v>
      </c>
      <c r="B54" s="191" t="s">
        <v>378</v>
      </c>
      <c r="C54" s="191" t="s">
        <v>613</v>
      </c>
      <c r="D54" s="197" t="s">
        <v>379</v>
      </c>
      <c r="E54" s="197" t="s">
        <v>380</v>
      </c>
      <c r="F54" s="191"/>
      <c r="G54" s="198" t="s">
        <v>381</v>
      </c>
      <c r="H54" s="194">
        <v>40774</v>
      </c>
      <c r="I54" s="199" t="s">
        <v>382</v>
      </c>
      <c r="J54" s="195"/>
      <c r="K54" s="195"/>
      <c r="L54" s="195"/>
      <c r="M54" s="195"/>
      <c r="N54" s="195"/>
      <c r="O54" s="195"/>
      <c r="P54" s="195"/>
      <c r="Q54" s="200">
        <v>39680</v>
      </c>
      <c r="R54" s="210" t="s">
        <v>41</v>
      </c>
    </row>
    <row r="55" spans="1:23" s="217" customFormat="1" ht="15.95" customHeight="1" x14ac:dyDescent="0.2">
      <c r="A55" s="209" t="s">
        <v>408</v>
      </c>
      <c r="B55" s="191" t="s">
        <v>378</v>
      </c>
      <c r="C55" s="191" t="s">
        <v>613</v>
      </c>
      <c r="D55" s="197" t="s">
        <v>409</v>
      </c>
      <c r="E55" s="197" t="s">
        <v>410</v>
      </c>
      <c r="F55" s="191"/>
      <c r="G55" s="198">
        <v>38640</v>
      </c>
      <c r="H55" s="194">
        <v>40878</v>
      </c>
      <c r="I55" s="199" t="s">
        <v>411</v>
      </c>
      <c r="J55" s="195"/>
      <c r="K55" s="195"/>
      <c r="L55" s="195"/>
      <c r="M55" s="195"/>
      <c r="N55" s="195"/>
      <c r="O55" s="195"/>
      <c r="P55" s="195"/>
      <c r="Q55" s="200">
        <v>39783</v>
      </c>
      <c r="R55" s="210" t="s">
        <v>41</v>
      </c>
    </row>
    <row r="56" spans="1:23" s="217" customFormat="1" ht="15.95" customHeight="1" x14ac:dyDescent="0.2">
      <c r="A56" s="209" t="s">
        <v>383</v>
      </c>
      <c r="B56" s="191" t="s">
        <v>23</v>
      </c>
      <c r="C56" s="191" t="s">
        <v>372</v>
      </c>
      <c r="D56" s="197" t="s">
        <v>384</v>
      </c>
      <c r="E56" s="197" t="s">
        <v>385</v>
      </c>
      <c r="F56" s="191" t="s">
        <v>386</v>
      </c>
      <c r="G56" s="198" t="s">
        <v>375</v>
      </c>
      <c r="H56" s="194">
        <v>41035</v>
      </c>
      <c r="I56" s="199" t="s">
        <v>387</v>
      </c>
      <c r="J56" s="195"/>
      <c r="K56" s="195"/>
      <c r="L56" s="195"/>
      <c r="M56" s="195"/>
      <c r="N56" s="195"/>
      <c r="O56" s="195"/>
      <c r="P56" s="195"/>
      <c r="Q56" s="200">
        <v>39209</v>
      </c>
      <c r="R56" s="210" t="s">
        <v>96</v>
      </c>
    </row>
    <row r="57" spans="1:23" s="217" customFormat="1" ht="15.95" customHeight="1" x14ac:dyDescent="0.2">
      <c r="A57" s="209" t="s">
        <v>412</v>
      </c>
      <c r="B57" s="191" t="s">
        <v>413</v>
      </c>
      <c r="C57" s="191" t="s">
        <v>613</v>
      </c>
      <c r="D57" s="197" t="s">
        <v>414</v>
      </c>
      <c r="E57" s="197" t="s">
        <v>415</v>
      </c>
      <c r="F57" s="191"/>
      <c r="G57" s="198">
        <v>90271.1</v>
      </c>
      <c r="H57" s="194">
        <v>41141</v>
      </c>
      <c r="I57" s="199" t="s">
        <v>562</v>
      </c>
      <c r="J57" s="195"/>
      <c r="K57" s="195"/>
      <c r="L57" s="195"/>
      <c r="M57" s="195"/>
      <c r="N57" s="195"/>
      <c r="O57" s="195"/>
      <c r="P57" s="195"/>
      <c r="Q57" s="200">
        <v>39680</v>
      </c>
      <c r="R57" s="210" t="s">
        <v>41</v>
      </c>
    </row>
    <row r="58" spans="1:23" s="217" customFormat="1" ht="15.95" customHeight="1" x14ac:dyDescent="0.2">
      <c r="A58" s="209" t="s">
        <v>215</v>
      </c>
      <c r="B58" s="191" t="s">
        <v>23</v>
      </c>
      <c r="C58" s="191" t="s">
        <v>24</v>
      </c>
      <c r="D58" s="197" t="s">
        <v>216</v>
      </c>
      <c r="E58" s="197" t="s">
        <v>217</v>
      </c>
      <c r="F58" s="191"/>
      <c r="G58" s="198" t="s">
        <v>375</v>
      </c>
      <c r="H58" s="194">
        <v>41198</v>
      </c>
      <c r="I58" s="199" t="s">
        <v>561</v>
      </c>
      <c r="J58" s="195"/>
      <c r="K58" s="195"/>
      <c r="L58" s="195"/>
      <c r="M58" s="195"/>
      <c r="N58" s="195"/>
      <c r="O58" s="195"/>
      <c r="P58" s="195"/>
      <c r="Q58" s="200">
        <v>39737</v>
      </c>
      <c r="R58" s="210" t="s">
        <v>169</v>
      </c>
    </row>
    <row r="59" spans="1:23" s="217" customFormat="1" ht="15.95" customHeight="1" thickBot="1" x14ac:dyDescent="0.25">
      <c r="A59" s="212"/>
      <c r="B59" s="213" t="s">
        <v>23</v>
      </c>
      <c r="C59" s="213" t="s">
        <v>61</v>
      </c>
      <c r="D59" s="214" t="s">
        <v>231</v>
      </c>
      <c r="E59" s="214" t="s">
        <v>232</v>
      </c>
      <c r="F59" s="213"/>
      <c r="G59" s="215">
        <v>21785.16</v>
      </c>
      <c r="H59" s="216" t="s">
        <v>233</v>
      </c>
      <c r="I59" s="221" t="s">
        <v>234</v>
      </c>
      <c r="J59" s="222"/>
      <c r="K59" s="222"/>
      <c r="L59" s="222"/>
      <c r="M59" s="222"/>
      <c r="N59" s="222"/>
      <c r="O59" s="222"/>
      <c r="P59" s="222"/>
      <c r="Q59" s="223">
        <v>37043</v>
      </c>
      <c r="R59" s="224" t="s">
        <v>54</v>
      </c>
    </row>
    <row r="60" spans="1:23" ht="11.85" customHeight="1" x14ac:dyDescent="0.2">
      <c r="A60" s="52"/>
      <c r="B60" s="52"/>
      <c r="C60" s="52"/>
      <c r="E60" s="52"/>
      <c r="H60" s="74"/>
    </row>
    <row r="61" spans="1:23" ht="12.6" customHeight="1" x14ac:dyDescent="0.2">
      <c r="A61" s="52"/>
      <c r="B61" s="52"/>
      <c r="C61" s="52"/>
      <c r="D61" s="53" t="s">
        <v>235</v>
      </c>
      <c r="E61" s="54" t="s">
        <v>239</v>
      </c>
      <c r="H61" s="74"/>
      <c r="Q61" s="927"/>
      <c r="R61" s="927"/>
      <c r="S61" s="927"/>
      <c r="T61" s="927"/>
      <c r="U61" s="927"/>
      <c r="V61" s="927"/>
      <c r="W61" s="927"/>
    </row>
    <row r="62" spans="1:23" ht="11.85" customHeight="1" x14ac:dyDescent="0.2">
      <c r="A62" s="52"/>
      <c r="B62" s="52"/>
      <c r="C62" s="52"/>
      <c r="D62" s="53" t="s">
        <v>236</v>
      </c>
      <c r="E62" s="54" t="s">
        <v>388</v>
      </c>
      <c r="H62" s="74"/>
    </row>
    <row r="63" spans="1:23" ht="11.85" customHeight="1" x14ac:dyDescent="0.2">
      <c r="A63" s="52"/>
      <c r="B63" s="52"/>
      <c r="C63" s="52"/>
      <c r="D63" s="53" t="s">
        <v>237</v>
      </c>
      <c r="E63" s="54" t="s">
        <v>389</v>
      </c>
      <c r="H63" s="74"/>
    </row>
    <row r="64" spans="1:23" ht="11.85" customHeight="1" x14ac:dyDescent="0.2">
      <c r="D64" s="53" t="s">
        <v>238</v>
      </c>
      <c r="E64" s="54" t="s">
        <v>390</v>
      </c>
    </row>
    <row r="65" ht="11.85" customHeight="1" x14ac:dyDescent="0.2"/>
  </sheetData>
  <mergeCells count="17">
    <mergeCell ref="Q6:R6"/>
    <mergeCell ref="A8:R8"/>
    <mergeCell ref="A9:A10"/>
    <mergeCell ref="B9:B10"/>
    <mergeCell ref="C9:C10"/>
    <mergeCell ref="D9:D10"/>
    <mergeCell ref="E9:E10"/>
    <mergeCell ref="F9:F10"/>
    <mergeCell ref="G9:G10"/>
    <mergeCell ref="Q7:R7"/>
    <mergeCell ref="Q61:W61"/>
    <mergeCell ref="H9:H10"/>
    <mergeCell ref="I9:I10"/>
    <mergeCell ref="J9:J10"/>
    <mergeCell ref="K9:O9"/>
    <mergeCell ref="P9:P10"/>
    <mergeCell ref="R9:R10"/>
  </mergeCells>
  <phoneticPr fontId="2" type="noConversion"/>
  <printOptions horizontalCentered="1"/>
  <pageMargins left="0.19685039370078741" right="0.19685039370078741" top="0.19685039370078741" bottom="0.19685039370078741" header="0.51181102362204722" footer="0.51181102362204722"/>
  <pageSetup paperSize="9" scale="67" firstPageNumber="0" orientation="landscape" horizontalDpi="300" verticalDpi="300"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64"/>
  <sheetViews>
    <sheetView topLeftCell="E1" zoomScale="118" zoomScaleNormal="118" workbookViewId="0">
      <pane ySplit="10" topLeftCell="A11" activePane="bottomLeft" state="frozen"/>
      <selection activeCell="E1" sqref="E1"/>
      <selection pane="bottomLeft" activeCell="A11" sqref="A11"/>
    </sheetView>
  </sheetViews>
  <sheetFormatPr defaultRowHeight="14.1" customHeight="1" x14ac:dyDescent="0.2"/>
  <cols>
    <col min="1" max="1" width="9.7109375" style="1" bestFit="1" customWidth="1"/>
    <col min="2" max="2" width="10.85546875" style="1" hidden="1" customWidth="1"/>
    <col min="3" max="3" width="14.140625" style="1" hidden="1" customWidth="1"/>
    <col min="4" max="4" width="52.28515625" style="1" bestFit="1" customWidth="1"/>
    <col min="5" max="5" width="75.5703125" style="1" customWidth="1"/>
    <col min="6" max="6" width="12.7109375" style="6" hidden="1" customWidth="1"/>
    <col min="7" max="7" width="14.7109375" style="2" customWidth="1"/>
    <col min="8" max="8" width="10.28515625" style="55" customWidth="1"/>
    <col min="9" max="9" width="29.7109375" style="2" customWidth="1"/>
    <col min="10" max="10" width="14.42578125" style="1" hidden="1" customWidth="1"/>
    <col min="11" max="16" width="9.140625" style="1" hidden="1" customWidth="1"/>
    <col min="17" max="17" width="17.5703125" style="1" customWidth="1"/>
    <col min="18" max="18" width="7.42578125" style="1" hidden="1" customWidth="1"/>
    <col min="19" max="16384" width="9.140625" style="1"/>
  </cols>
  <sheetData>
    <row r="1" spans="1:18" ht="11.1" customHeight="1" x14ac:dyDescent="0.2"/>
    <row r="2" spans="1:18" ht="11.1" customHeight="1" x14ac:dyDescent="0.2"/>
    <row r="3" spans="1:18" ht="11.1" customHeight="1" x14ac:dyDescent="0.2"/>
    <row r="4" spans="1:18" ht="11.1" customHeight="1" x14ac:dyDescent="0.2"/>
    <row r="5" spans="1:18" ht="11.1" customHeight="1" x14ac:dyDescent="0.2"/>
    <row r="6" spans="1:18" ht="15.6" customHeight="1" x14ac:dyDescent="0.2">
      <c r="Q6" s="955" t="s">
        <v>0</v>
      </c>
      <c r="R6" s="955"/>
    </row>
    <row r="7" spans="1:18" ht="15" customHeight="1" x14ac:dyDescent="0.2">
      <c r="Q7" s="252">
        <v>40543</v>
      </c>
      <c r="R7" s="4"/>
    </row>
    <row r="8" spans="1:18" ht="16.350000000000001" customHeight="1" thickBot="1" x14ac:dyDescent="0.3">
      <c r="A8" s="929" t="s">
        <v>1</v>
      </c>
      <c r="B8" s="929"/>
      <c r="C8" s="929"/>
      <c r="D8" s="929"/>
      <c r="E8" s="929"/>
      <c r="F8" s="929"/>
      <c r="G8" s="929"/>
      <c r="H8" s="929"/>
      <c r="I8" s="929"/>
      <c r="J8" s="929"/>
      <c r="K8" s="929"/>
      <c r="L8" s="929"/>
      <c r="M8" s="929"/>
      <c r="N8" s="929"/>
      <c r="O8" s="929"/>
      <c r="P8" s="929"/>
      <c r="Q8" s="929"/>
      <c r="R8" s="929"/>
    </row>
    <row r="9" spans="1:18" s="6" customFormat="1" ht="13.9" customHeight="1" thickTop="1" thickBot="1" x14ac:dyDescent="0.25">
      <c r="A9" s="930" t="s">
        <v>2</v>
      </c>
      <c r="B9" s="928" t="s">
        <v>3</v>
      </c>
      <c r="C9" s="928" t="s">
        <v>4</v>
      </c>
      <c r="D9" s="928" t="s">
        <v>5</v>
      </c>
      <c r="E9" s="928" t="s">
        <v>6</v>
      </c>
      <c r="F9" s="928" t="s">
        <v>240</v>
      </c>
      <c r="G9" s="928" t="s">
        <v>7</v>
      </c>
      <c r="H9" s="934" t="s">
        <v>8</v>
      </c>
      <c r="I9" s="928" t="s">
        <v>9</v>
      </c>
      <c r="J9" s="928" t="s">
        <v>10</v>
      </c>
      <c r="K9" s="931" t="s">
        <v>11</v>
      </c>
      <c r="L9" s="931"/>
      <c r="M9" s="931"/>
      <c r="N9" s="931"/>
      <c r="O9" s="931"/>
      <c r="P9" s="928" t="s">
        <v>12</v>
      </c>
      <c r="Q9" s="57" t="s">
        <v>242</v>
      </c>
      <c r="R9" s="926" t="s">
        <v>15</v>
      </c>
    </row>
    <row r="10" spans="1:18" s="6" customFormat="1" ht="13.9" customHeight="1" thickTop="1" thickBot="1" x14ac:dyDescent="0.25">
      <c r="A10" s="953"/>
      <c r="B10" s="933"/>
      <c r="C10" s="933"/>
      <c r="D10" s="933"/>
      <c r="E10" s="933"/>
      <c r="F10" s="933"/>
      <c r="G10" s="933"/>
      <c r="H10" s="951"/>
      <c r="I10" s="933"/>
      <c r="J10" s="928"/>
      <c r="K10" s="190" t="s">
        <v>16</v>
      </c>
      <c r="L10" s="190" t="s">
        <v>17</v>
      </c>
      <c r="M10" s="190" t="s">
        <v>18</v>
      </c>
      <c r="N10" s="190" t="s">
        <v>19</v>
      </c>
      <c r="O10" s="190" t="s">
        <v>20</v>
      </c>
      <c r="P10" s="933"/>
      <c r="Q10" s="189" t="s">
        <v>243</v>
      </c>
      <c r="R10" s="952"/>
    </row>
    <row r="11" spans="1:18" s="218" customFormat="1" ht="15.95" customHeight="1" x14ac:dyDescent="0.2">
      <c r="A11" s="205" t="s">
        <v>701</v>
      </c>
      <c r="B11" s="206" t="s">
        <v>23</v>
      </c>
      <c r="C11" s="206" t="s">
        <v>61</v>
      </c>
      <c r="D11" s="225" t="s">
        <v>260</v>
      </c>
      <c r="E11" s="225" t="s">
        <v>26</v>
      </c>
      <c r="F11" s="206" t="s">
        <v>262</v>
      </c>
      <c r="G11" s="226" t="s">
        <v>354</v>
      </c>
      <c r="H11" s="207">
        <v>39940</v>
      </c>
      <c r="I11" s="240" t="s">
        <v>355</v>
      </c>
      <c r="J11" s="248"/>
      <c r="K11" s="243"/>
      <c r="L11" s="219"/>
      <c r="M11" s="219"/>
      <c r="N11" s="219"/>
      <c r="O11" s="219"/>
      <c r="P11" s="219"/>
      <c r="Q11" s="228">
        <v>39576</v>
      </c>
      <c r="R11" s="208" t="s">
        <v>29</v>
      </c>
    </row>
    <row r="12" spans="1:18" s="218" customFormat="1" ht="15.95" customHeight="1" x14ac:dyDescent="0.2">
      <c r="A12" s="209" t="s">
        <v>518</v>
      </c>
      <c r="B12" s="201" t="s">
        <v>507</v>
      </c>
      <c r="C12" s="191" t="s">
        <v>613</v>
      </c>
      <c r="D12" s="197" t="s">
        <v>508</v>
      </c>
      <c r="E12" s="197" t="s">
        <v>509</v>
      </c>
      <c r="F12" s="191"/>
      <c r="G12" s="198">
        <v>25824.43</v>
      </c>
      <c r="H12" s="202">
        <v>40217</v>
      </c>
      <c r="I12" s="241" t="s">
        <v>510</v>
      </c>
      <c r="J12" s="246"/>
      <c r="K12" s="244"/>
      <c r="L12" s="195"/>
      <c r="M12" s="195"/>
      <c r="N12" s="195"/>
      <c r="O12" s="195"/>
      <c r="P12" s="195"/>
      <c r="Q12" s="200">
        <v>39853</v>
      </c>
      <c r="R12" s="210" t="s">
        <v>41</v>
      </c>
    </row>
    <row r="13" spans="1:18" s="217" customFormat="1" ht="15.95" customHeight="1" x14ac:dyDescent="0.2">
      <c r="A13" s="209" t="s">
        <v>259</v>
      </c>
      <c r="B13" s="191" t="s">
        <v>23</v>
      </c>
      <c r="C13" s="191" t="s">
        <v>24</v>
      </c>
      <c r="D13" s="197" t="s">
        <v>260</v>
      </c>
      <c r="E13" s="197" t="s">
        <v>656</v>
      </c>
      <c r="F13" s="191" t="s">
        <v>262</v>
      </c>
      <c r="G13" s="198" t="s">
        <v>522</v>
      </c>
      <c r="H13" s="202">
        <v>40451</v>
      </c>
      <c r="I13" s="241" t="s">
        <v>657</v>
      </c>
      <c r="J13" s="247"/>
      <c r="K13" s="244"/>
      <c r="L13" s="195"/>
      <c r="M13" s="195"/>
      <c r="N13" s="195"/>
      <c r="O13" s="195"/>
      <c r="P13" s="195"/>
      <c r="Q13" s="200">
        <v>39356</v>
      </c>
      <c r="R13" s="210" t="s">
        <v>34</v>
      </c>
    </row>
    <row r="14" spans="1:18" s="217" customFormat="1" ht="15.95" customHeight="1" x14ac:dyDescent="0.2">
      <c r="A14" s="209" t="s">
        <v>666</v>
      </c>
      <c r="B14" s="191" t="s">
        <v>667</v>
      </c>
      <c r="C14" s="191" t="s">
        <v>37</v>
      </c>
      <c r="D14" s="197" t="s">
        <v>668</v>
      </c>
      <c r="E14" s="197" t="s">
        <v>669</v>
      </c>
      <c r="F14" s="191"/>
      <c r="G14" s="198">
        <v>36000</v>
      </c>
      <c r="H14" s="202">
        <v>40481</v>
      </c>
      <c r="I14" s="241" t="s">
        <v>670</v>
      </c>
      <c r="J14" s="247"/>
      <c r="K14" s="244"/>
      <c r="L14" s="195"/>
      <c r="M14" s="195"/>
      <c r="N14" s="195"/>
      <c r="O14" s="195"/>
      <c r="P14" s="195"/>
      <c r="Q14" s="200">
        <v>40280</v>
      </c>
      <c r="R14" s="210" t="s">
        <v>700</v>
      </c>
    </row>
    <row r="15" spans="1:18" s="217" customFormat="1" ht="15.95" customHeight="1" x14ac:dyDescent="0.2">
      <c r="A15" s="209" t="s">
        <v>631</v>
      </c>
      <c r="B15" s="191" t="s">
        <v>632</v>
      </c>
      <c r="C15" s="191" t="s">
        <v>37</v>
      </c>
      <c r="D15" s="192" t="s">
        <v>633</v>
      </c>
      <c r="E15" s="192" t="s">
        <v>634</v>
      </c>
      <c r="F15" s="191"/>
      <c r="G15" s="193">
        <v>144000</v>
      </c>
      <c r="H15" s="194">
        <v>40504</v>
      </c>
      <c r="I15" s="242" t="s">
        <v>635</v>
      </c>
      <c r="J15" s="247"/>
      <c r="K15" s="244"/>
      <c r="L15" s="195"/>
      <c r="M15" s="195"/>
      <c r="N15" s="195"/>
      <c r="O15" s="195"/>
      <c r="P15" s="191"/>
      <c r="Q15" s="220">
        <v>40140</v>
      </c>
      <c r="R15" s="210" t="s">
        <v>48</v>
      </c>
    </row>
    <row r="16" spans="1:18" s="217" customFormat="1" ht="15.95" customHeight="1" x14ac:dyDescent="0.2">
      <c r="A16" s="209" t="s">
        <v>636</v>
      </c>
      <c r="B16" s="191" t="s">
        <v>507</v>
      </c>
      <c r="C16" s="191" t="s">
        <v>772</v>
      </c>
      <c r="D16" s="192" t="s">
        <v>637</v>
      </c>
      <c r="E16" s="192" t="s">
        <v>638</v>
      </c>
      <c r="F16" s="191"/>
      <c r="G16" s="193">
        <v>26882.400000000001</v>
      </c>
      <c r="H16" s="194">
        <v>40533</v>
      </c>
      <c r="I16" s="191" t="s">
        <v>639</v>
      </c>
      <c r="J16" s="245" t="s">
        <v>725</v>
      </c>
      <c r="K16" s="195"/>
      <c r="L16" s="195"/>
      <c r="M16" s="195"/>
      <c r="N16" s="195"/>
      <c r="O16" s="195"/>
      <c r="P16" s="191"/>
      <c r="Q16" s="220">
        <v>40169</v>
      </c>
      <c r="R16" s="210" t="s">
        <v>649</v>
      </c>
    </row>
    <row r="17" spans="1:18" s="217" customFormat="1" ht="15.95" customHeight="1" x14ac:dyDescent="0.2">
      <c r="A17" s="209" t="s">
        <v>164</v>
      </c>
      <c r="B17" s="201" t="s">
        <v>165</v>
      </c>
      <c r="C17" s="191" t="s">
        <v>37</v>
      </c>
      <c r="D17" s="197" t="s">
        <v>303</v>
      </c>
      <c r="E17" s="197" t="s">
        <v>167</v>
      </c>
      <c r="F17" s="191" t="s">
        <v>304</v>
      </c>
      <c r="G17" s="198">
        <v>33416.639999999999</v>
      </c>
      <c r="H17" s="202">
        <v>40540</v>
      </c>
      <c r="I17" s="199" t="s">
        <v>661</v>
      </c>
      <c r="J17" s="238" t="s">
        <v>727</v>
      </c>
      <c r="K17" s="195"/>
      <c r="L17" s="195"/>
      <c r="M17" s="195"/>
      <c r="N17" s="195"/>
      <c r="O17" s="195"/>
      <c r="P17" s="195"/>
      <c r="Q17" s="200">
        <v>39080</v>
      </c>
      <c r="R17" s="210" t="s">
        <v>41</v>
      </c>
    </row>
    <row r="18" spans="1:18" s="217" customFormat="1" ht="15.95" customHeight="1" x14ac:dyDescent="0.2">
      <c r="A18" s="209" t="s">
        <v>309</v>
      </c>
      <c r="B18" s="196" t="s">
        <v>23</v>
      </c>
      <c r="C18" s="191" t="s">
        <v>61</v>
      </c>
      <c r="D18" s="197" t="s">
        <v>176</v>
      </c>
      <c r="E18" s="197" t="s">
        <v>310</v>
      </c>
      <c r="F18" s="191" t="s">
        <v>311</v>
      </c>
      <c r="G18" s="198">
        <v>15900</v>
      </c>
      <c r="H18" s="194">
        <v>40543</v>
      </c>
      <c r="I18" s="199" t="s">
        <v>663</v>
      </c>
      <c r="J18" s="238" t="s">
        <v>729</v>
      </c>
      <c r="K18" s="195"/>
      <c r="L18" s="195"/>
      <c r="M18" s="195"/>
      <c r="N18" s="195"/>
      <c r="O18" s="195"/>
      <c r="P18" s="195"/>
      <c r="Q18" s="200">
        <v>38749</v>
      </c>
      <c r="R18" s="210" t="s">
        <v>169</v>
      </c>
    </row>
    <row r="19" spans="1:18" s="217" customFormat="1" ht="15.95" customHeight="1" x14ac:dyDescent="0.2">
      <c r="A19" s="209" t="s">
        <v>124</v>
      </c>
      <c r="B19" s="191" t="s">
        <v>23</v>
      </c>
      <c r="C19" s="191" t="s">
        <v>56</v>
      </c>
      <c r="D19" s="197" t="s">
        <v>125</v>
      </c>
      <c r="E19" s="197" t="s">
        <v>126</v>
      </c>
      <c r="F19" s="191" t="s">
        <v>276</v>
      </c>
      <c r="G19" s="198" t="s">
        <v>703</v>
      </c>
      <c r="H19" s="194">
        <v>40543</v>
      </c>
      <c r="I19" s="199" t="s">
        <v>776</v>
      </c>
      <c r="J19" s="238" t="s">
        <v>728</v>
      </c>
      <c r="K19" s="195"/>
      <c r="L19" s="195"/>
      <c r="M19" s="195"/>
      <c r="N19" s="195"/>
      <c r="O19" s="195"/>
      <c r="P19" s="195"/>
      <c r="Q19" s="200">
        <v>39022</v>
      </c>
      <c r="R19" s="210" t="s">
        <v>179</v>
      </c>
    </row>
    <row r="20" spans="1:18" s="217" customFormat="1" ht="15.95" customHeight="1" x14ac:dyDescent="0.2">
      <c r="A20" s="209" t="s">
        <v>318</v>
      </c>
      <c r="B20" s="191" t="s">
        <v>23</v>
      </c>
      <c r="C20" s="191" t="s">
        <v>56</v>
      </c>
      <c r="D20" s="197" t="s">
        <v>83</v>
      </c>
      <c r="E20" s="197" t="s">
        <v>319</v>
      </c>
      <c r="F20" s="191" t="s">
        <v>320</v>
      </c>
      <c r="G20" s="198" t="s">
        <v>321</v>
      </c>
      <c r="H20" s="194">
        <v>40545</v>
      </c>
      <c r="I20" s="199" t="s">
        <v>662</v>
      </c>
      <c r="J20" s="238" t="s">
        <v>730</v>
      </c>
      <c r="K20" s="195"/>
      <c r="L20" s="195"/>
      <c r="M20" s="195"/>
      <c r="N20" s="195"/>
      <c r="O20" s="195"/>
      <c r="P20" s="195"/>
      <c r="Q20" s="200">
        <v>39480</v>
      </c>
      <c r="R20" s="210"/>
    </row>
    <row r="21" spans="1:18" s="217" customFormat="1" ht="15.95" customHeight="1" x14ac:dyDescent="0.2">
      <c r="A21" s="209" t="s">
        <v>658</v>
      </c>
      <c r="B21" s="191" t="s">
        <v>23</v>
      </c>
      <c r="C21" s="191" t="s">
        <v>24</v>
      </c>
      <c r="D21" s="197" t="s">
        <v>171</v>
      </c>
      <c r="E21" s="197" t="s">
        <v>172</v>
      </c>
      <c r="F21" s="191" t="s">
        <v>306</v>
      </c>
      <c r="G21" s="198" t="s">
        <v>659</v>
      </c>
      <c r="H21" s="194">
        <v>40546</v>
      </c>
      <c r="I21" s="199" t="s">
        <v>660</v>
      </c>
      <c r="J21" s="238" t="s">
        <v>753</v>
      </c>
      <c r="K21" s="195"/>
      <c r="L21" s="195"/>
      <c r="M21" s="195"/>
      <c r="N21" s="195"/>
      <c r="O21" s="195"/>
      <c r="P21" s="195"/>
      <c r="Q21" s="200">
        <v>40182</v>
      </c>
      <c r="R21" s="210" t="s">
        <v>48</v>
      </c>
    </row>
    <row r="22" spans="1:18" s="217" customFormat="1" ht="15.95" customHeight="1" x14ac:dyDescent="0.2">
      <c r="A22" s="209" t="s">
        <v>184</v>
      </c>
      <c r="B22" s="201" t="s">
        <v>185</v>
      </c>
      <c r="C22" s="191" t="s">
        <v>37</v>
      </c>
      <c r="D22" s="197" t="s">
        <v>186</v>
      </c>
      <c r="E22" s="197" t="s">
        <v>187</v>
      </c>
      <c r="F22" s="191" t="s">
        <v>315</v>
      </c>
      <c r="G22" s="198">
        <v>82742.64</v>
      </c>
      <c r="H22" s="194">
        <v>40558</v>
      </c>
      <c r="I22" s="199" t="s">
        <v>774</v>
      </c>
      <c r="J22" s="238" t="s">
        <v>731</v>
      </c>
      <c r="K22" s="195"/>
      <c r="L22" s="195"/>
      <c r="M22" s="195"/>
      <c r="N22" s="195"/>
      <c r="O22" s="195"/>
      <c r="P22" s="195"/>
      <c r="Q22" s="200">
        <v>38732</v>
      </c>
      <c r="R22" s="210" t="s">
        <v>169</v>
      </c>
    </row>
    <row r="23" spans="1:18" s="217" customFormat="1" ht="15.95" customHeight="1" x14ac:dyDescent="0.2">
      <c r="A23" s="209" t="s">
        <v>599</v>
      </c>
      <c r="B23" s="191" t="s">
        <v>600</v>
      </c>
      <c r="C23" s="191" t="s">
        <v>613</v>
      </c>
      <c r="D23" s="197" t="s">
        <v>695</v>
      </c>
      <c r="E23" s="197" t="s">
        <v>696</v>
      </c>
      <c r="F23" s="191"/>
      <c r="G23" s="198">
        <v>127558.44</v>
      </c>
      <c r="H23" s="194">
        <v>40584</v>
      </c>
      <c r="I23" s="199" t="s">
        <v>697</v>
      </c>
      <c r="J23" s="238" t="s">
        <v>732</v>
      </c>
      <c r="K23" s="195"/>
      <c r="L23" s="195"/>
      <c r="M23" s="195"/>
      <c r="N23" s="195"/>
      <c r="O23" s="195"/>
      <c r="P23" s="195"/>
      <c r="Q23" s="200"/>
      <c r="R23" s="210" t="s">
        <v>48</v>
      </c>
    </row>
    <row r="24" spans="1:18" s="217" customFormat="1" ht="15.95" customHeight="1" x14ac:dyDescent="0.2">
      <c r="A24" s="209" t="s">
        <v>584</v>
      </c>
      <c r="B24" s="201" t="s">
        <v>585</v>
      </c>
      <c r="C24" s="191" t="s">
        <v>613</v>
      </c>
      <c r="D24" s="197" t="s">
        <v>586</v>
      </c>
      <c r="E24" s="197" t="s">
        <v>587</v>
      </c>
      <c r="F24" s="191"/>
      <c r="G24" s="198" t="s">
        <v>762</v>
      </c>
      <c r="H24" s="194">
        <v>40585</v>
      </c>
      <c r="I24" s="199" t="s">
        <v>761</v>
      </c>
      <c r="J24" s="238" t="s">
        <v>733</v>
      </c>
      <c r="K24" s="195"/>
      <c r="L24" s="195"/>
      <c r="M24" s="195"/>
      <c r="N24" s="195"/>
      <c r="O24" s="195"/>
      <c r="P24" s="195"/>
      <c r="Q24" s="200">
        <v>40037</v>
      </c>
      <c r="R24" s="210" t="s">
        <v>96</v>
      </c>
    </row>
    <row r="25" spans="1:18" s="217" customFormat="1" ht="15.95" customHeight="1" x14ac:dyDescent="0.2">
      <c r="A25" s="209" t="s">
        <v>193</v>
      </c>
      <c r="B25" s="191" t="s">
        <v>23</v>
      </c>
      <c r="C25" s="191" t="s">
        <v>56</v>
      </c>
      <c r="D25" s="197" t="s">
        <v>194</v>
      </c>
      <c r="E25" s="197" t="s">
        <v>195</v>
      </c>
      <c r="F25" s="191" t="s">
        <v>330</v>
      </c>
      <c r="G25" s="198">
        <v>15600</v>
      </c>
      <c r="H25" s="194">
        <v>40587</v>
      </c>
      <c r="I25" s="199" t="s">
        <v>651</v>
      </c>
      <c r="J25" s="238" t="s">
        <v>734</v>
      </c>
      <c r="K25" s="195"/>
      <c r="L25" s="195"/>
      <c r="M25" s="195"/>
      <c r="N25" s="195"/>
      <c r="O25" s="195"/>
      <c r="P25" s="195"/>
      <c r="Q25" s="200">
        <v>39125</v>
      </c>
      <c r="R25" s="210" t="s">
        <v>48</v>
      </c>
    </row>
    <row r="26" spans="1:18" s="217" customFormat="1" ht="15.95" customHeight="1" x14ac:dyDescent="0.2">
      <c r="A26" s="209" t="s">
        <v>197</v>
      </c>
      <c r="B26" s="191" t="s">
        <v>23</v>
      </c>
      <c r="C26" s="191" t="s">
        <v>56</v>
      </c>
      <c r="D26" s="197" t="s">
        <v>198</v>
      </c>
      <c r="E26" s="197" t="s">
        <v>337</v>
      </c>
      <c r="F26" s="191" t="s">
        <v>338</v>
      </c>
      <c r="G26" s="198">
        <v>2601.12</v>
      </c>
      <c r="H26" s="194">
        <v>40602</v>
      </c>
      <c r="I26" s="199" t="s">
        <v>652</v>
      </c>
      <c r="J26" s="238" t="s">
        <v>735</v>
      </c>
      <c r="K26" s="195"/>
      <c r="L26" s="195"/>
      <c r="M26" s="195"/>
      <c r="N26" s="195"/>
      <c r="O26" s="195"/>
      <c r="P26" s="195"/>
      <c r="Q26" s="200">
        <v>38412</v>
      </c>
      <c r="R26" s="210" t="s">
        <v>201</v>
      </c>
    </row>
    <row r="27" spans="1:18" s="217" customFormat="1" ht="15.95" customHeight="1" x14ac:dyDescent="0.2">
      <c r="A27" s="209" t="s">
        <v>610</v>
      </c>
      <c r="B27" s="191" t="s">
        <v>23</v>
      </c>
      <c r="C27" s="191" t="s">
        <v>56</v>
      </c>
      <c r="D27" s="197" t="s">
        <v>607</v>
      </c>
      <c r="E27" s="197" t="s">
        <v>608</v>
      </c>
      <c r="F27" s="191" t="s">
        <v>341</v>
      </c>
      <c r="G27" s="198">
        <v>15999.6</v>
      </c>
      <c r="H27" s="194">
        <v>40611</v>
      </c>
      <c r="I27" s="199" t="s">
        <v>681</v>
      </c>
      <c r="J27" s="238" t="s">
        <v>736</v>
      </c>
      <c r="K27" s="195"/>
      <c r="L27" s="195"/>
      <c r="M27" s="195"/>
      <c r="N27" s="195"/>
      <c r="O27" s="195"/>
      <c r="P27" s="195"/>
      <c r="Q27" s="200">
        <v>39882</v>
      </c>
      <c r="R27" s="210" t="s">
        <v>96</v>
      </c>
    </row>
    <row r="28" spans="1:18" s="217" customFormat="1" ht="15.95" customHeight="1" x14ac:dyDescent="0.2">
      <c r="A28" s="209" t="s">
        <v>511</v>
      </c>
      <c r="B28" s="191" t="s">
        <v>23</v>
      </c>
      <c r="C28" s="191" t="s">
        <v>56</v>
      </c>
      <c r="D28" s="197" t="s">
        <v>207</v>
      </c>
      <c r="E28" s="197" t="s">
        <v>208</v>
      </c>
      <c r="F28" s="191" t="s">
        <v>343</v>
      </c>
      <c r="G28" s="198" t="s">
        <v>209</v>
      </c>
      <c r="H28" s="194">
        <v>40618</v>
      </c>
      <c r="I28" s="199" t="s">
        <v>650</v>
      </c>
      <c r="J28" s="238" t="s">
        <v>737</v>
      </c>
      <c r="K28" s="195"/>
      <c r="L28" s="195"/>
      <c r="M28" s="195"/>
      <c r="N28" s="195"/>
      <c r="O28" s="195"/>
      <c r="P28" s="195"/>
      <c r="Q28" s="200">
        <v>39889</v>
      </c>
      <c r="R28" s="210" t="s">
        <v>48</v>
      </c>
    </row>
    <row r="29" spans="1:18" s="217" customFormat="1" ht="15.95" customHeight="1" x14ac:dyDescent="0.2">
      <c r="A29" s="209" t="s">
        <v>286</v>
      </c>
      <c r="B29" s="201" t="s">
        <v>251</v>
      </c>
      <c r="C29" s="191" t="s">
        <v>37</v>
      </c>
      <c r="D29" s="197" t="s">
        <v>287</v>
      </c>
      <c r="E29" s="197" t="s">
        <v>288</v>
      </c>
      <c r="F29" s="191" t="s">
        <v>246</v>
      </c>
      <c r="G29" s="198" t="s">
        <v>289</v>
      </c>
      <c r="H29" s="202">
        <v>40638</v>
      </c>
      <c r="I29" s="199" t="s">
        <v>763</v>
      </c>
      <c r="J29" s="238" t="s">
        <v>723</v>
      </c>
      <c r="K29" s="195"/>
      <c r="L29" s="195"/>
      <c r="M29" s="195"/>
      <c r="N29" s="195"/>
      <c r="O29" s="195"/>
      <c r="P29" s="195"/>
      <c r="Q29" s="200">
        <v>39300</v>
      </c>
      <c r="R29" s="210" t="s">
        <v>48</v>
      </c>
    </row>
    <row r="30" spans="1:18" s="217" customFormat="1" ht="15.95" customHeight="1" x14ac:dyDescent="0.2">
      <c r="A30" s="211" t="s">
        <v>583</v>
      </c>
      <c r="B30" s="191" t="s">
        <v>23</v>
      </c>
      <c r="C30" s="191" t="s">
        <v>61</v>
      </c>
      <c r="D30" s="197" t="s">
        <v>50</v>
      </c>
      <c r="E30" s="197" t="s">
        <v>51</v>
      </c>
      <c r="F30" s="191" t="s">
        <v>347</v>
      </c>
      <c r="G30" s="198" t="s">
        <v>664</v>
      </c>
      <c r="H30" s="194">
        <v>40655</v>
      </c>
      <c r="I30" s="199" t="s">
        <v>665</v>
      </c>
      <c r="J30" s="238" t="s">
        <v>738</v>
      </c>
      <c r="K30" s="195"/>
      <c r="L30" s="195"/>
      <c r="M30" s="195"/>
      <c r="N30" s="195"/>
      <c r="O30" s="195"/>
      <c r="P30" s="195"/>
      <c r="Q30" s="200">
        <v>39926</v>
      </c>
      <c r="R30" s="210" t="s">
        <v>54</v>
      </c>
    </row>
    <row r="31" spans="1:18" s="217" customFormat="1" ht="15.95" customHeight="1" x14ac:dyDescent="0.2">
      <c r="A31" s="209" t="s">
        <v>677</v>
      </c>
      <c r="B31" s="203" t="s">
        <v>678</v>
      </c>
      <c r="C31" s="191" t="s">
        <v>37</v>
      </c>
      <c r="D31" s="197" t="s">
        <v>38</v>
      </c>
      <c r="E31" s="197" t="s">
        <v>679</v>
      </c>
      <c r="F31" s="191" t="s">
        <v>345</v>
      </c>
      <c r="G31" s="198">
        <v>79590</v>
      </c>
      <c r="H31" s="194">
        <v>40682</v>
      </c>
      <c r="I31" s="199" t="s">
        <v>680</v>
      </c>
      <c r="J31" s="238" t="s">
        <v>739</v>
      </c>
      <c r="K31" s="195"/>
      <c r="L31" s="195"/>
      <c r="M31" s="195"/>
      <c r="N31" s="195"/>
      <c r="O31" s="195"/>
      <c r="P31" s="195"/>
      <c r="Q31" s="200">
        <v>40318</v>
      </c>
      <c r="R31" s="210" t="s">
        <v>41</v>
      </c>
    </row>
    <row r="32" spans="1:18" s="217" customFormat="1" ht="15.95" customHeight="1" x14ac:dyDescent="0.2">
      <c r="A32" s="209" t="s">
        <v>593</v>
      </c>
      <c r="B32" s="201" t="s">
        <v>23</v>
      </c>
      <c r="C32" s="191" t="s">
        <v>56</v>
      </c>
      <c r="D32" s="197" t="s">
        <v>594</v>
      </c>
      <c r="E32" s="197" t="s">
        <v>595</v>
      </c>
      <c r="F32" s="191"/>
      <c r="G32" s="198">
        <v>7200</v>
      </c>
      <c r="H32" s="194">
        <v>40688</v>
      </c>
      <c r="I32" s="199" t="s">
        <v>694</v>
      </c>
      <c r="J32" s="238" t="s">
        <v>740</v>
      </c>
      <c r="K32" s="195"/>
      <c r="L32" s="195"/>
      <c r="M32" s="195"/>
      <c r="N32" s="195"/>
      <c r="O32" s="195"/>
      <c r="P32" s="195"/>
      <c r="Q32" s="200">
        <v>39959</v>
      </c>
      <c r="R32" s="210" t="s">
        <v>41</v>
      </c>
    </row>
    <row r="33" spans="1:18" s="217" customFormat="1" ht="15.95" customHeight="1" x14ac:dyDescent="0.2">
      <c r="A33" s="209" t="s">
        <v>682</v>
      </c>
      <c r="B33" s="191" t="s">
        <v>683</v>
      </c>
      <c r="C33" s="191" t="s">
        <v>37</v>
      </c>
      <c r="D33" s="197" t="s">
        <v>684</v>
      </c>
      <c r="E33" s="197" t="s">
        <v>685</v>
      </c>
      <c r="F33" s="191"/>
      <c r="G33" s="198" t="s">
        <v>686</v>
      </c>
      <c r="H33" s="194">
        <v>40700</v>
      </c>
      <c r="I33" s="199" t="s">
        <v>687</v>
      </c>
      <c r="J33" s="238" t="s">
        <v>741</v>
      </c>
      <c r="K33" s="195"/>
      <c r="L33" s="195"/>
      <c r="M33" s="195"/>
      <c r="N33" s="195"/>
      <c r="O33" s="195"/>
      <c r="P33" s="195"/>
      <c r="Q33" s="200">
        <v>40336</v>
      </c>
      <c r="R33" s="210">
        <v>1</v>
      </c>
    </row>
    <row r="34" spans="1:18" s="217" customFormat="1" ht="15.95" customHeight="1" x14ac:dyDescent="0.2">
      <c r="A34" s="209" t="s">
        <v>589</v>
      </c>
      <c r="B34" s="191" t="s">
        <v>590</v>
      </c>
      <c r="C34" s="191" t="s">
        <v>56</v>
      </c>
      <c r="D34" s="197" t="s">
        <v>138</v>
      </c>
      <c r="E34" s="197" t="s">
        <v>591</v>
      </c>
      <c r="F34" s="191"/>
      <c r="G34" s="198" t="s">
        <v>675</v>
      </c>
      <c r="H34" s="194">
        <v>40702</v>
      </c>
      <c r="I34" s="199" t="s">
        <v>676</v>
      </c>
      <c r="J34" s="238" t="s">
        <v>740</v>
      </c>
      <c r="K34" s="195"/>
      <c r="L34" s="195"/>
      <c r="M34" s="195"/>
      <c r="N34" s="195"/>
      <c r="O34" s="195"/>
      <c r="P34" s="195"/>
      <c r="Q34" s="200">
        <v>39973</v>
      </c>
      <c r="R34" s="210" t="s">
        <v>48</v>
      </c>
    </row>
    <row r="35" spans="1:18" s="217" customFormat="1" ht="15.95" customHeight="1" x14ac:dyDescent="0.2">
      <c r="A35" s="209" t="s">
        <v>579</v>
      </c>
      <c r="B35" s="191" t="s">
        <v>23</v>
      </c>
      <c r="C35" s="191" t="s">
        <v>56</v>
      </c>
      <c r="D35" s="197" t="s">
        <v>580</v>
      </c>
      <c r="E35" s="197" t="s">
        <v>581</v>
      </c>
      <c r="F35" s="191" t="s">
        <v>323</v>
      </c>
      <c r="G35" s="198" t="s">
        <v>673</v>
      </c>
      <c r="H35" s="194">
        <v>40708</v>
      </c>
      <c r="I35" s="199" t="s">
        <v>674</v>
      </c>
      <c r="J35" s="238" t="s">
        <v>742</v>
      </c>
      <c r="K35" s="195"/>
      <c r="L35" s="195"/>
      <c r="M35" s="195"/>
      <c r="N35" s="195"/>
      <c r="O35" s="195"/>
      <c r="P35" s="195"/>
      <c r="Q35" s="200">
        <v>39979</v>
      </c>
      <c r="R35" s="210" t="s">
        <v>48</v>
      </c>
    </row>
    <row r="36" spans="1:18" s="217" customFormat="1" ht="15.95" customHeight="1" x14ac:dyDescent="0.2">
      <c r="A36" s="209" t="s">
        <v>360</v>
      </c>
      <c r="B36" s="191" t="s">
        <v>23</v>
      </c>
      <c r="C36" s="191" t="s">
        <v>61</v>
      </c>
      <c r="D36" s="197" t="s">
        <v>212</v>
      </c>
      <c r="E36" s="197" t="s">
        <v>361</v>
      </c>
      <c r="F36" s="191"/>
      <c r="G36" s="198">
        <v>6413.88</v>
      </c>
      <c r="H36" s="194">
        <v>40712</v>
      </c>
      <c r="I36" s="199" t="s">
        <v>671</v>
      </c>
      <c r="J36" s="238" t="s">
        <v>726</v>
      </c>
      <c r="K36" s="195"/>
      <c r="L36" s="195"/>
      <c r="M36" s="195"/>
      <c r="N36" s="195"/>
      <c r="O36" s="195"/>
      <c r="P36" s="195"/>
      <c r="Q36" s="200">
        <v>39617</v>
      </c>
      <c r="R36" s="210" t="s">
        <v>48</v>
      </c>
    </row>
    <row r="37" spans="1:18" s="217" customFormat="1" ht="15.95" customHeight="1" x14ac:dyDescent="0.2">
      <c r="A37" s="209" t="s">
        <v>356</v>
      </c>
      <c r="B37" s="191" t="s">
        <v>23</v>
      </c>
      <c r="C37" s="191" t="s">
        <v>61</v>
      </c>
      <c r="D37" s="197" t="s">
        <v>62</v>
      </c>
      <c r="E37" s="197" t="s">
        <v>357</v>
      </c>
      <c r="F37" s="191" t="s">
        <v>358</v>
      </c>
      <c r="G37" s="198">
        <v>8004.24</v>
      </c>
      <c r="H37" s="194">
        <v>40714</v>
      </c>
      <c r="I37" s="199" t="s">
        <v>672</v>
      </c>
      <c r="J37" s="238" t="s">
        <v>743</v>
      </c>
      <c r="K37" s="195"/>
      <c r="L37" s="195"/>
      <c r="M37" s="195"/>
      <c r="N37" s="195"/>
      <c r="O37" s="195"/>
      <c r="P37" s="195"/>
      <c r="Q37" s="200">
        <v>39619</v>
      </c>
      <c r="R37" s="210" t="s">
        <v>48</v>
      </c>
    </row>
    <row r="38" spans="1:18" s="217" customFormat="1" ht="15.95" customHeight="1" x14ac:dyDescent="0.2">
      <c r="A38" s="209" t="s">
        <v>363</v>
      </c>
      <c r="B38" s="201" t="s">
        <v>364</v>
      </c>
      <c r="C38" s="191" t="s">
        <v>37</v>
      </c>
      <c r="D38" s="197" t="s">
        <v>365</v>
      </c>
      <c r="E38" s="197" t="s">
        <v>366</v>
      </c>
      <c r="F38" s="191" t="s">
        <v>367</v>
      </c>
      <c r="G38" s="198">
        <v>25472.04</v>
      </c>
      <c r="H38" s="194">
        <v>40748</v>
      </c>
      <c r="I38" s="199" t="s">
        <v>693</v>
      </c>
      <c r="J38" s="238" t="s">
        <v>744</v>
      </c>
      <c r="K38" s="195"/>
      <c r="L38" s="195"/>
      <c r="M38" s="195"/>
      <c r="N38" s="195"/>
      <c r="O38" s="195"/>
      <c r="P38" s="195"/>
      <c r="Q38" s="200">
        <v>39288</v>
      </c>
      <c r="R38" s="210" t="s">
        <v>96</v>
      </c>
    </row>
    <row r="39" spans="1:18" s="217" customFormat="1" ht="15.95" customHeight="1" x14ac:dyDescent="0.2">
      <c r="A39" s="209" t="s">
        <v>377</v>
      </c>
      <c r="B39" s="191" t="s">
        <v>378</v>
      </c>
      <c r="C39" s="191" t="s">
        <v>613</v>
      </c>
      <c r="D39" s="197" t="s">
        <v>379</v>
      </c>
      <c r="E39" s="197" t="s">
        <v>380</v>
      </c>
      <c r="F39" s="191"/>
      <c r="G39" s="198" t="s">
        <v>381</v>
      </c>
      <c r="H39" s="194">
        <v>40774</v>
      </c>
      <c r="I39" s="199" t="s">
        <v>382</v>
      </c>
      <c r="J39" s="238" t="s">
        <v>745</v>
      </c>
      <c r="K39" s="195"/>
      <c r="L39" s="195"/>
      <c r="M39" s="195"/>
      <c r="N39" s="195"/>
      <c r="O39" s="195"/>
      <c r="P39" s="195"/>
      <c r="Q39" s="200">
        <v>39680</v>
      </c>
      <c r="R39" s="210" t="s">
        <v>41</v>
      </c>
    </row>
    <row r="40" spans="1:18" s="217" customFormat="1" ht="15.95" customHeight="1" x14ac:dyDescent="0.2">
      <c r="A40" s="209" t="s">
        <v>488</v>
      </c>
      <c r="B40" s="201" t="s">
        <v>251</v>
      </c>
      <c r="C40" s="191" t="s">
        <v>613</v>
      </c>
      <c r="D40" s="197" t="s">
        <v>44</v>
      </c>
      <c r="E40" s="197" t="s">
        <v>653</v>
      </c>
      <c r="F40" s="191" t="s">
        <v>253</v>
      </c>
      <c r="G40" s="198">
        <v>151498.56</v>
      </c>
      <c r="H40" s="194">
        <v>40788</v>
      </c>
      <c r="I40" s="199" t="s">
        <v>698</v>
      </c>
      <c r="J40" s="238" t="s">
        <v>746</v>
      </c>
      <c r="K40" s="195"/>
      <c r="L40" s="195"/>
      <c r="M40" s="195"/>
      <c r="N40" s="195"/>
      <c r="O40" s="195"/>
      <c r="P40" s="195"/>
      <c r="Q40" s="200">
        <v>39328</v>
      </c>
      <c r="R40" s="210" t="s">
        <v>48</v>
      </c>
    </row>
    <row r="41" spans="1:18" s="217" customFormat="1" ht="15.95" customHeight="1" x14ac:dyDescent="0.2">
      <c r="A41" s="209" t="s">
        <v>515</v>
      </c>
      <c r="B41" s="201" t="s">
        <v>23</v>
      </c>
      <c r="C41" s="191" t="s">
        <v>56</v>
      </c>
      <c r="D41" s="197" t="s">
        <v>516</v>
      </c>
      <c r="E41" s="197" t="s">
        <v>517</v>
      </c>
      <c r="F41" s="191"/>
      <c r="G41" s="198">
        <f>1247.08*12</f>
        <v>14964.96</v>
      </c>
      <c r="H41" s="202">
        <v>40816</v>
      </c>
      <c r="I41" s="199" t="s">
        <v>715</v>
      </c>
      <c r="J41" s="238" t="s">
        <v>747</v>
      </c>
      <c r="K41" s="195"/>
      <c r="L41" s="195"/>
      <c r="M41" s="195"/>
      <c r="N41" s="195"/>
      <c r="O41" s="195"/>
      <c r="P41" s="195"/>
      <c r="Q41" s="200">
        <v>39722</v>
      </c>
      <c r="R41" s="210" t="s">
        <v>96</v>
      </c>
    </row>
    <row r="42" spans="1:18" s="217" customFormat="1" ht="15.95" customHeight="1" x14ac:dyDescent="0.2">
      <c r="A42" s="209" t="s">
        <v>616</v>
      </c>
      <c r="B42" s="191" t="s">
        <v>600</v>
      </c>
      <c r="C42" s="191" t="s">
        <v>617</v>
      </c>
      <c r="D42" s="197" t="s">
        <v>618</v>
      </c>
      <c r="E42" s="197" t="s">
        <v>654</v>
      </c>
      <c r="F42" s="191"/>
      <c r="G42" s="198" t="s">
        <v>655</v>
      </c>
      <c r="H42" s="202">
        <v>40816</v>
      </c>
      <c r="I42" s="199" t="s">
        <v>705</v>
      </c>
      <c r="J42" s="238" t="s">
        <v>748</v>
      </c>
      <c r="K42" s="195"/>
      <c r="L42" s="195"/>
      <c r="M42" s="195"/>
      <c r="N42" s="195"/>
      <c r="O42" s="195"/>
      <c r="P42" s="195"/>
      <c r="Q42" s="200">
        <v>40095</v>
      </c>
      <c r="R42" s="210" t="s">
        <v>48</v>
      </c>
    </row>
    <row r="43" spans="1:18" s="217" customFormat="1" ht="15.95" customHeight="1" x14ac:dyDescent="0.2">
      <c r="A43" s="209" t="s">
        <v>711</v>
      </c>
      <c r="B43" s="191" t="s">
        <v>23</v>
      </c>
      <c r="C43" s="191" t="s">
        <v>61</v>
      </c>
      <c r="D43" s="197" t="s">
        <v>98</v>
      </c>
      <c r="E43" s="197" t="s">
        <v>712</v>
      </c>
      <c r="F43" s="191" t="s">
        <v>255</v>
      </c>
      <c r="G43" s="198" t="s">
        <v>713</v>
      </c>
      <c r="H43" s="194">
        <v>40837</v>
      </c>
      <c r="I43" s="199" t="s">
        <v>714</v>
      </c>
      <c r="J43" s="238" t="s">
        <v>749</v>
      </c>
      <c r="K43" s="195"/>
      <c r="L43" s="195"/>
      <c r="M43" s="195"/>
      <c r="N43" s="195"/>
      <c r="O43" s="195"/>
      <c r="P43" s="195"/>
      <c r="Q43" s="200">
        <v>40473</v>
      </c>
      <c r="R43" s="210" t="s">
        <v>48</v>
      </c>
    </row>
    <row r="44" spans="1:18" s="217" customFormat="1" ht="15.95" customHeight="1" x14ac:dyDescent="0.2">
      <c r="A44" s="209" t="s">
        <v>115</v>
      </c>
      <c r="B44" s="191" t="s">
        <v>23</v>
      </c>
      <c r="C44" s="191" t="s">
        <v>56</v>
      </c>
      <c r="D44" s="197" t="s">
        <v>116</v>
      </c>
      <c r="E44" s="197" t="s">
        <v>117</v>
      </c>
      <c r="F44" s="191" t="s">
        <v>266</v>
      </c>
      <c r="G44" s="204">
        <v>5320</v>
      </c>
      <c r="H44" s="202">
        <v>40840</v>
      </c>
      <c r="I44" s="199" t="s">
        <v>704</v>
      </c>
      <c r="J44" s="238" t="s">
        <v>750</v>
      </c>
      <c r="K44" s="195"/>
      <c r="L44" s="195"/>
      <c r="M44" s="195"/>
      <c r="N44" s="195"/>
      <c r="O44" s="195"/>
      <c r="P44" s="195"/>
      <c r="Q44" s="200">
        <v>39015</v>
      </c>
      <c r="R44" s="210" t="s">
        <v>96</v>
      </c>
    </row>
    <row r="45" spans="1:18" s="217" customFormat="1" ht="15.95" customHeight="1" x14ac:dyDescent="0.2">
      <c r="A45" s="209" t="s">
        <v>709</v>
      </c>
      <c r="B45" s="191" t="s">
        <v>23</v>
      </c>
      <c r="C45" s="191" t="s">
        <v>61</v>
      </c>
      <c r="D45" s="197" t="s">
        <v>268</v>
      </c>
      <c r="E45" s="197" t="s">
        <v>604</v>
      </c>
      <c r="F45" s="191" t="s">
        <v>269</v>
      </c>
      <c r="G45" s="198" t="s">
        <v>708</v>
      </c>
      <c r="H45" s="202">
        <v>40842</v>
      </c>
      <c r="I45" s="199" t="s">
        <v>710</v>
      </c>
      <c r="J45" s="238" t="s">
        <v>751</v>
      </c>
      <c r="K45" s="195"/>
      <c r="L45" s="195"/>
      <c r="M45" s="195"/>
      <c r="N45" s="195"/>
      <c r="O45" s="195"/>
      <c r="P45" s="195"/>
      <c r="Q45" s="200">
        <v>40478</v>
      </c>
      <c r="R45" s="210" t="s">
        <v>96</v>
      </c>
    </row>
    <row r="46" spans="1:18" s="217" customFormat="1" ht="15.95" customHeight="1" x14ac:dyDescent="0.2">
      <c r="A46" s="209" t="s">
        <v>397</v>
      </c>
      <c r="B46" s="191" t="s">
        <v>398</v>
      </c>
      <c r="C46" s="191" t="s">
        <v>613</v>
      </c>
      <c r="D46" s="197" t="s">
        <v>399</v>
      </c>
      <c r="E46" s="197" t="s">
        <v>400</v>
      </c>
      <c r="F46" s="191"/>
      <c r="G46" s="198" t="s">
        <v>536</v>
      </c>
      <c r="H46" s="194">
        <v>40849</v>
      </c>
      <c r="I46" s="199" t="s">
        <v>716</v>
      </c>
      <c r="J46" s="238" t="s">
        <v>752</v>
      </c>
      <c r="K46" s="195"/>
      <c r="L46" s="195"/>
      <c r="M46" s="195"/>
      <c r="N46" s="195"/>
      <c r="O46" s="195"/>
      <c r="P46" s="195"/>
      <c r="Q46" s="200">
        <v>39755</v>
      </c>
      <c r="R46" s="210" t="s">
        <v>48</v>
      </c>
    </row>
    <row r="47" spans="1:18" s="217" customFormat="1" ht="15.95" customHeight="1" x14ac:dyDescent="0.2">
      <c r="A47" s="209" t="s">
        <v>137</v>
      </c>
      <c r="B47" s="191" t="s">
        <v>23</v>
      </c>
      <c r="C47" s="191" t="s">
        <v>56</v>
      </c>
      <c r="D47" s="197" t="s">
        <v>138</v>
      </c>
      <c r="E47" s="197" t="s">
        <v>139</v>
      </c>
      <c r="F47" s="191" t="s">
        <v>281</v>
      </c>
      <c r="G47" s="198" t="s">
        <v>706</v>
      </c>
      <c r="H47" s="194">
        <v>40862</v>
      </c>
      <c r="I47" s="199" t="s">
        <v>707</v>
      </c>
      <c r="J47" s="238" t="s">
        <v>740</v>
      </c>
      <c r="K47" s="195"/>
      <c r="L47" s="195"/>
      <c r="M47" s="195"/>
      <c r="N47" s="195"/>
      <c r="O47" s="195"/>
      <c r="P47" s="195"/>
      <c r="Q47" s="200">
        <v>39037</v>
      </c>
      <c r="R47" s="210" t="s">
        <v>54</v>
      </c>
    </row>
    <row r="48" spans="1:18" s="217" customFormat="1" ht="15.95" customHeight="1" x14ac:dyDescent="0.2">
      <c r="A48" s="209" t="s">
        <v>628</v>
      </c>
      <c r="B48" s="191" t="s">
        <v>585</v>
      </c>
      <c r="C48" s="191" t="s">
        <v>617</v>
      </c>
      <c r="D48" s="192" t="s">
        <v>44</v>
      </c>
      <c r="E48" s="192" t="s">
        <v>629</v>
      </c>
      <c r="F48" s="191"/>
      <c r="G48" s="193">
        <v>37580.400000000001</v>
      </c>
      <c r="H48" s="194">
        <v>40877</v>
      </c>
      <c r="I48" s="191" t="s">
        <v>717</v>
      </c>
      <c r="J48" s="238" t="s">
        <v>746</v>
      </c>
      <c r="K48" s="195"/>
      <c r="L48" s="195"/>
      <c r="M48" s="195"/>
      <c r="N48" s="195"/>
      <c r="O48" s="195"/>
      <c r="P48" s="191"/>
      <c r="Q48" s="220">
        <v>40147</v>
      </c>
      <c r="R48" s="210" t="s">
        <v>48</v>
      </c>
    </row>
    <row r="49" spans="1:23" s="217" customFormat="1" ht="15.95" customHeight="1" x14ac:dyDescent="0.2">
      <c r="A49" s="209" t="s">
        <v>408</v>
      </c>
      <c r="B49" s="191" t="s">
        <v>378</v>
      </c>
      <c r="C49" s="191" t="s">
        <v>613</v>
      </c>
      <c r="D49" s="197" t="s">
        <v>409</v>
      </c>
      <c r="E49" s="197" t="s">
        <v>410</v>
      </c>
      <c r="F49" s="191"/>
      <c r="G49" s="198">
        <v>38640</v>
      </c>
      <c r="H49" s="194">
        <v>40878</v>
      </c>
      <c r="I49" s="199" t="s">
        <v>411</v>
      </c>
      <c r="J49" s="238" t="s">
        <v>754</v>
      </c>
      <c r="K49" s="195"/>
      <c r="L49" s="195"/>
      <c r="M49" s="195"/>
      <c r="N49" s="195"/>
      <c r="O49" s="195"/>
      <c r="P49" s="195"/>
      <c r="Q49" s="200">
        <v>39783</v>
      </c>
      <c r="R49" s="210" t="s">
        <v>48</v>
      </c>
    </row>
    <row r="50" spans="1:23" s="217" customFormat="1" ht="15.95" customHeight="1" x14ac:dyDescent="0.2">
      <c r="A50" s="209" t="s">
        <v>765</v>
      </c>
      <c r="B50" s="191" t="s">
        <v>773</v>
      </c>
      <c r="C50" s="191" t="s">
        <v>37</v>
      </c>
      <c r="D50" s="197" t="s">
        <v>88</v>
      </c>
      <c r="E50" s="197" t="s">
        <v>766</v>
      </c>
      <c r="F50" s="191"/>
      <c r="G50" s="198">
        <v>29040</v>
      </c>
      <c r="H50" s="194">
        <v>40891</v>
      </c>
      <c r="I50" s="199" t="s">
        <v>767</v>
      </c>
      <c r="J50" s="238" t="s">
        <v>775</v>
      </c>
      <c r="K50" s="195"/>
      <c r="L50" s="195"/>
      <c r="M50" s="195"/>
      <c r="N50" s="195"/>
      <c r="O50" s="195"/>
      <c r="P50" s="195"/>
      <c r="Q50" s="200">
        <v>40527</v>
      </c>
      <c r="R50" s="210" t="s">
        <v>41</v>
      </c>
    </row>
    <row r="51" spans="1:23" s="217" customFormat="1" ht="15.95" customHeight="1" x14ac:dyDescent="0.2">
      <c r="A51" s="209" t="s">
        <v>294</v>
      </c>
      <c r="B51" s="191" t="s">
        <v>23</v>
      </c>
      <c r="C51" s="191" t="s">
        <v>56</v>
      </c>
      <c r="D51" s="197" t="s">
        <v>295</v>
      </c>
      <c r="E51" s="197" t="s">
        <v>296</v>
      </c>
      <c r="F51" s="191" t="s">
        <v>297</v>
      </c>
      <c r="G51" s="198">
        <v>6600</v>
      </c>
      <c r="H51" s="194">
        <v>40895</v>
      </c>
      <c r="I51" s="199" t="s">
        <v>777</v>
      </c>
      <c r="J51" s="238" t="s">
        <v>724</v>
      </c>
      <c r="K51" s="195"/>
      <c r="L51" s="195"/>
      <c r="M51" s="195"/>
      <c r="N51" s="195"/>
      <c r="O51" s="195"/>
      <c r="P51" s="195"/>
      <c r="Q51" s="200">
        <v>39435</v>
      </c>
      <c r="R51" s="210" t="s">
        <v>48</v>
      </c>
    </row>
    <row r="52" spans="1:23" s="217" customFormat="1" ht="15.95" customHeight="1" x14ac:dyDescent="0.2">
      <c r="A52" s="209" t="s">
        <v>383</v>
      </c>
      <c r="B52" s="191" t="s">
        <v>23</v>
      </c>
      <c r="C52" s="191" t="s">
        <v>372</v>
      </c>
      <c r="D52" s="197" t="s">
        <v>384</v>
      </c>
      <c r="E52" s="197" t="s">
        <v>385</v>
      </c>
      <c r="F52" s="191" t="s">
        <v>386</v>
      </c>
      <c r="G52" s="198" t="s">
        <v>375</v>
      </c>
      <c r="H52" s="194">
        <v>41035</v>
      </c>
      <c r="I52" s="199" t="s">
        <v>387</v>
      </c>
      <c r="J52" s="238" t="s">
        <v>755</v>
      </c>
      <c r="K52" s="195"/>
      <c r="L52" s="195"/>
      <c r="M52" s="195"/>
      <c r="N52" s="195"/>
      <c r="O52" s="195"/>
      <c r="P52" s="195"/>
      <c r="Q52" s="200">
        <v>39209</v>
      </c>
      <c r="R52" s="210" t="s">
        <v>96</v>
      </c>
    </row>
    <row r="53" spans="1:23" s="217" customFormat="1" ht="15.95" customHeight="1" x14ac:dyDescent="0.2">
      <c r="A53" s="209" t="s">
        <v>412</v>
      </c>
      <c r="B53" s="191" t="s">
        <v>413</v>
      </c>
      <c r="C53" s="191" t="s">
        <v>613</v>
      </c>
      <c r="D53" s="197" t="s">
        <v>414</v>
      </c>
      <c r="E53" s="197" t="s">
        <v>415</v>
      </c>
      <c r="F53" s="191"/>
      <c r="G53" s="198">
        <v>90271.1</v>
      </c>
      <c r="H53" s="194">
        <v>41141</v>
      </c>
      <c r="I53" s="199" t="s">
        <v>562</v>
      </c>
      <c r="J53" s="238" t="s">
        <v>756</v>
      </c>
      <c r="K53" s="195"/>
      <c r="L53" s="195"/>
      <c r="M53" s="195"/>
      <c r="N53" s="195"/>
      <c r="O53" s="195"/>
      <c r="P53" s="195"/>
      <c r="Q53" s="200">
        <v>39680</v>
      </c>
      <c r="R53" s="210" t="s">
        <v>41</v>
      </c>
    </row>
    <row r="54" spans="1:23" s="217" customFormat="1" ht="15.95" customHeight="1" x14ac:dyDescent="0.2">
      <c r="A54" s="209" t="s">
        <v>215</v>
      </c>
      <c r="B54" s="191" t="s">
        <v>23</v>
      </c>
      <c r="C54" s="191" t="s">
        <v>24</v>
      </c>
      <c r="D54" s="197" t="s">
        <v>216</v>
      </c>
      <c r="E54" s="197" t="s">
        <v>217</v>
      </c>
      <c r="F54" s="191"/>
      <c r="G54" s="198" t="s">
        <v>375</v>
      </c>
      <c r="H54" s="194">
        <v>41198</v>
      </c>
      <c r="I54" s="199" t="s">
        <v>561</v>
      </c>
      <c r="J54" s="238" t="s">
        <v>757</v>
      </c>
      <c r="K54" s="195"/>
      <c r="L54" s="195"/>
      <c r="M54" s="195"/>
      <c r="N54" s="195"/>
      <c r="O54" s="195"/>
      <c r="P54" s="195"/>
      <c r="Q54" s="200">
        <v>39737</v>
      </c>
      <c r="R54" s="210" t="s">
        <v>169</v>
      </c>
    </row>
    <row r="55" spans="1:23" s="217" customFormat="1" ht="15.95" customHeight="1" x14ac:dyDescent="0.2">
      <c r="A55" s="209" t="s">
        <v>688</v>
      </c>
      <c r="B55" s="191" t="s">
        <v>689</v>
      </c>
      <c r="C55" s="191" t="s">
        <v>613</v>
      </c>
      <c r="D55" s="197" t="s">
        <v>690</v>
      </c>
      <c r="E55" s="197" t="s">
        <v>691</v>
      </c>
      <c r="F55" s="191"/>
      <c r="G55" s="198">
        <v>24600</v>
      </c>
      <c r="H55" s="194">
        <v>41322</v>
      </c>
      <c r="I55" s="199" t="s">
        <v>692</v>
      </c>
      <c r="J55" s="239" t="s">
        <v>758</v>
      </c>
      <c r="K55" s="195"/>
      <c r="L55" s="195"/>
      <c r="M55" s="195"/>
      <c r="N55" s="195"/>
      <c r="O55" s="195"/>
      <c r="P55" s="195"/>
      <c r="Q55" s="200">
        <v>40227</v>
      </c>
      <c r="R55" s="210" t="s">
        <v>41</v>
      </c>
    </row>
    <row r="56" spans="1:23" s="217" customFormat="1" ht="15.95" customHeight="1" x14ac:dyDescent="0.2">
      <c r="A56" s="229" t="s">
        <v>718</v>
      </c>
      <c r="B56" s="230" t="s">
        <v>719</v>
      </c>
      <c r="C56" s="230" t="s">
        <v>617</v>
      </c>
      <c r="D56" s="231" t="s">
        <v>379</v>
      </c>
      <c r="E56" s="231" t="s">
        <v>720</v>
      </c>
      <c r="F56" s="230"/>
      <c r="G56" s="232" t="s">
        <v>721</v>
      </c>
      <c r="H56" s="233">
        <v>41546</v>
      </c>
      <c r="I56" s="234" t="s">
        <v>722</v>
      </c>
      <c r="J56" s="238" t="s">
        <v>745</v>
      </c>
      <c r="K56" s="235"/>
      <c r="L56" s="235"/>
      <c r="M56" s="235"/>
      <c r="N56" s="235"/>
      <c r="O56" s="235"/>
      <c r="P56" s="235"/>
      <c r="Q56" s="236">
        <v>40451</v>
      </c>
      <c r="R56" s="237" t="s">
        <v>41</v>
      </c>
    </row>
    <row r="57" spans="1:23" s="217" customFormat="1" ht="15.95" customHeight="1" thickBot="1" x14ac:dyDescent="0.25">
      <c r="A57" s="212"/>
      <c r="B57" s="213" t="s">
        <v>23</v>
      </c>
      <c r="C57" s="213" t="s">
        <v>61</v>
      </c>
      <c r="D57" s="214" t="s">
        <v>760</v>
      </c>
      <c r="E57" s="214" t="s">
        <v>232</v>
      </c>
      <c r="F57" s="213"/>
      <c r="G57" s="215">
        <v>21785.16</v>
      </c>
      <c r="H57" s="216" t="s">
        <v>233</v>
      </c>
      <c r="I57" s="249" t="s">
        <v>234</v>
      </c>
      <c r="J57" s="251" t="s">
        <v>759</v>
      </c>
      <c r="K57" s="250"/>
      <c r="L57" s="222"/>
      <c r="M57" s="222"/>
      <c r="N57" s="222"/>
      <c r="O57" s="222"/>
      <c r="P57" s="222"/>
      <c r="Q57" s="223">
        <v>37043</v>
      </c>
      <c r="R57" s="224" t="s">
        <v>54</v>
      </c>
    </row>
    <row r="58" spans="1:23" ht="11.85" customHeight="1" x14ac:dyDescent="0.2">
      <c r="A58" s="52"/>
      <c r="B58" s="52"/>
      <c r="C58" s="52"/>
      <c r="E58" s="52"/>
      <c r="H58" s="74"/>
    </row>
    <row r="59" spans="1:23" ht="12.6" customHeight="1" x14ac:dyDescent="0.2">
      <c r="A59" s="52"/>
      <c r="B59" s="52"/>
      <c r="C59" s="52"/>
      <c r="D59" s="53" t="s">
        <v>235</v>
      </c>
      <c r="E59" s="253" t="s">
        <v>239</v>
      </c>
      <c r="H59" s="74"/>
      <c r="Q59" s="927"/>
      <c r="R59" s="927"/>
      <c r="S59" s="927"/>
      <c r="T59" s="927"/>
      <c r="U59" s="927"/>
      <c r="V59" s="927"/>
      <c r="W59" s="927"/>
    </row>
    <row r="60" spans="1:23" ht="11.85" customHeight="1" x14ac:dyDescent="0.2">
      <c r="A60" s="52"/>
      <c r="B60" s="52"/>
      <c r="C60" s="52"/>
      <c r="D60" s="53" t="s">
        <v>236</v>
      </c>
      <c r="E60" s="253" t="s">
        <v>388</v>
      </c>
      <c r="H60" s="74"/>
    </row>
    <row r="61" spans="1:23" ht="11.85" customHeight="1" x14ac:dyDescent="0.2">
      <c r="A61" s="52"/>
      <c r="B61" s="52"/>
      <c r="C61" s="52"/>
      <c r="D61" s="53" t="s">
        <v>237</v>
      </c>
      <c r="E61" s="253" t="s">
        <v>389</v>
      </c>
      <c r="H61" s="74"/>
    </row>
    <row r="62" spans="1:23" ht="11.85" customHeight="1" x14ac:dyDescent="0.2">
      <c r="D62" s="53" t="s">
        <v>238</v>
      </c>
      <c r="E62" s="253" t="s">
        <v>390</v>
      </c>
    </row>
    <row r="63" spans="1:23" ht="11.85" customHeight="1" x14ac:dyDescent="0.2">
      <c r="D63" s="1" t="s">
        <v>699</v>
      </c>
      <c r="E63" s="253" t="s">
        <v>702</v>
      </c>
    </row>
    <row r="64" spans="1:23" ht="14.1" customHeight="1" x14ac:dyDescent="0.2">
      <c r="E64" s="253" t="s">
        <v>768</v>
      </c>
    </row>
  </sheetData>
  <mergeCells count="16">
    <mergeCell ref="Q59:W59"/>
    <mergeCell ref="H9:H10"/>
    <mergeCell ref="I9:I10"/>
    <mergeCell ref="J9:J10"/>
    <mergeCell ref="K9:O9"/>
    <mergeCell ref="P9:P10"/>
    <mergeCell ref="R9:R10"/>
    <mergeCell ref="Q6:R6"/>
    <mergeCell ref="A8:R8"/>
    <mergeCell ref="A9:A10"/>
    <mergeCell ref="B9:B10"/>
    <mergeCell ref="C9:C10"/>
    <mergeCell ref="D9:D10"/>
    <mergeCell ref="E9:E10"/>
    <mergeCell ref="F9:F10"/>
    <mergeCell ref="G9:G10"/>
  </mergeCells>
  <phoneticPr fontId="2" type="noConversion"/>
  <printOptions horizontalCentered="1"/>
  <pageMargins left="0.19685039370078741" right="0.19685039370078741" top="0.19685039370078741" bottom="0.19685039370078741" header="0.51181102362204722" footer="0.51181102362204722"/>
  <pageSetup paperSize="9" scale="67" firstPageNumber="0" orientation="landscape" horizontalDpi="300" verticalDpi="300"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6:AL76"/>
  <sheetViews>
    <sheetView zoomScaleNormal="118" workbookViewId="0">
      <pane ySplit="10" topLeftCell="A11" activePane="bottomLeft" state="frozen"/>
      <selection activeCell="E1" sqref="E1"/>
      <selection pane="bottomLeft" activeCell="B12" sqref="B12"/>
    </sheetView>
  </sheetViews>
  <sheetFormatPr defaultColWidth="7.42578125" defaultRowHeight="20.100000000000001" customHeight="1" x14ac:dyDescent="0.2"/>
  <cols>
    <col min="1" max="1" width="11.42578125" style="1" bestFit="1" customWidth="1"/>
    <col min="2" max="2" width="11.140625" style="1" customWidth="1"/>
    <col min="3" max="3" width="13.140625" style="1" customWidth="1"/>
    <col min="4" max="4" width="51.85546875" style="1" bestFit="1" customWidth="1"/>
    <col min="5" max="5" width="73.28515625" style="1" customWidth="1"/>
    <col min="6" max="6" width="14.7109375" style="6" customWidth="1"/>
    <col min="7" max="7" width="20.42578125" style="2" customWidth="1"/>
    <col min="8" max="18" width="12" style="2" bestFit="1" customWidth="1"/>
    <col min="19" max="19" width="13.7109375" style="2" customWidth="1"/>
    <col min="20" max="20" width="15.5703125" style="2" customWidth="1"/>
    <col min="21" max="21" width="9.28515625" style="2" customWidth="1"/>
    <col min="22" max="22" width="12.42578125" style="55" customWidth="1"/>
    <col min="23" max="23" width="35" style="2" customWidth="1"/>
    <col min="24" max="24" width="17.5703125" style="6" bestFit="1" customWidth="1"/>
    <col min="25" max="25" width="3.140625" style="1" customWidth="1"/>
    <col min="26" max="26" width="3.5703125" style="1" customWidth="1"/>
    <col min="27" max="27" width="4.85546875" style="1" customWidth="1"/>
    <col min="28" max="28" width="4.28515625" style="1" customWidth="1"/>
    <col min="29" max="29" width="5.7109375" style="1" customWidth="1"/>
    <col min="30" max="30" width="10.140625" style="55" bestFit="1" customWidth="1"/>
    <col min="31" max="31" width="11.28515625" style="1" customWidth="1"/>
    <col min="32" max="32" width="12.7109375" style="1" customWidth="1"/>
    <col min="33" max="33" width="8.5703125" style="1" customWidth="1"/>
    <col min="34" max="16384" width="7.42578125" style="1"/>
  </cols>
  <sheetData>
    <row r="6" spans="1:33" ht="20.100000000000001" customHeight="1" thickBot="1" x14ac:dyDescent="0.3">
      <c r="A6" s="929" t="s">
        <v>922</v>
      </c>
      <c r="B6" s="929"/>
      <c r="C6" s="929"/>
      <c r="D6" s="929"/>
      <c r="E6" s="929"/>
      <c r="F6" s="929"/>
      <c r="G6" s="929"/>
      <c r="H6" s="929"/>
      <c r="I6" s="929"/>
      <c r="J6" s="929"/>
      <c r="K6" s="929"/>
      <c r="L6" s="929"/>
      <c r="M6" s="929"/>
      <c r="N6" s="929"/>
      <c r="O6" s="929"/>
      <c r="P6" s="929"/>
      <c r="Q6" s="929"/>
      <c r="R6" s="929"/>
      <c r="S6" s="929"/>
      <c r="T6" s="929"/>
      <c r="U6" s="929"/>
      <c r="V6" s="929"/>
      <c r="W6" s="929"/>
      <c r="X6" s="929"/>
      <c r="Y6" s="929"/>
      <c r="Z6" s="929"/>
      <c r="AA6" s="929"/>
      <c r="AB6" s="929"/>
      <c r="AC6" s="929"/>
      <c r="AD6" s="929"/>
      <c r="AE6" s="929"/>
      <c r="AF6" s="929"/>
      <c r="AG6" s="929"/>
    </row>
    <row r="7" spans="1:33" ht="20.100000000000001" customHeight="1" thickTop="1" x14ac:dyDescent="0.25">
      <c r="A7" s="258"/>
      <c r="B7" s="258"/>
      <c r="C7" s="258"/>
      <c r="D7" s="258"/>
      <c r="E7" s="258"/>
      <c r="F7" s="258"/>
      <c r="G7" s="258"/>
      <c r="H7" s="1"/>
      <c r="I7" s="1"/>
      <c r="J7" s="1"/>
      <c r="K7" s="1"/>
      <c r="L7" s="1"/>
      <c r="M7" s="1"/>
      <c r="N7" s="1"/>
      <c r="O7" s="1"/>
      <c r="P7" s="1"/>
      <c r="Q7" s="1"/>
      <c r="R7" s="1"/>
      <c r="S7" s="1"/>
      <c r="T7" s="1"/>
      <c r="U7" s="258"/>
      <c r="V7" s="258"/>
      <c r="W7" s="258"/>
      <c r="X7" s="258"/>
      <c r="Y7" s="258"/>
      <c r="Z7" s="258"/>
      <c r="AA7" s="258"/>
      <c r="AB7" s="258"/>
      <c r="AC7" s="258"/>
      <c r="AD7" s="259"/>
      <c r="AE7" s="258"/>
      <c r="AF7" s="258" t="s">
        <v>0</v>
      </c>
      <c r="AG7" s="258"/>
    </row>
    <row r="8" spans="1:33" ht="20.100000000000001" customHeight="1" thickBot="1" x14ac:dyDescent="0.3">
      <c r="A8" s="258"/>
      <c r="B8" s="258"/>
      <c r="C8" s="258"/>
      <c r="D8" s="258"/>
      <c r="E8" s="258"/>
      <c r="F8" s="258"/>
      <c r="G8" s="259"/>
      <c r="H8" s="1"/>
      <c r="I8" s="1"/>
      <c r="J8" s="1"/>
      <c r="K8" s="1"/>
      <c r="L8" s="1"/>
      <c r="M8" s="1"/>
      <c r="N8" s="1"/>
      <c r="O8" s="1"/>
      <c r="P8" s="1"/>
      <c r="Q8" s="1"/>
      <c r="R8" s="1"/>
      <c r="S8" s="1"/>
      <c r="T8" s="1"/>
      <c r="U8" s="258"/>
      <c r="V8" s="258"/>
      <c r="W8" s="258"/>
      <c r="X8" s="258"/>
      <c r="Y8" s="258"/>
      <c r="Z8" s="258"/>
      <c r="AA8" s="258"/>
      <c r="AB8" s="258"/>
      <c r="AC8" s="258"/>
      <c r="AD8" s="259"/>
      <c r="AE8" s="258"/>
      <c r="AF8" s="259">
        <f ca="1">TODAY()</f>
        <v>44382</v>
      </c>
      <c r="AG8" s="258"/>
    </row>
    <row r="9" spans="1:33" s="265" customFormat="1" ht="30" customHeight="1" thickTop="1" thickBot="1" x14ac:dyDescent="0.25">
      <c r="A9" s="956" t="s">
        <v>2</v>
      </c>
      <c r="B9" s="958" t="s">
        <v>3</v>
      </c>
      <c r="C9" s="958" t="s">
        <v>4</v>
      </c>
      <c r="D9" s="960" t="s">
        <v>5</v>
      </c>
      <c r="E9" s="960" t="s">
        <v>6</v>
      </c>
      <c r="F9" s="960" t="s">
        <v>240</v>
      </c>
      <c r="G9" s="960" t="s">
        <v>7</v>
      </c>
      <c r="H9" s="961" t="s">
        <v>821</v>
      </c>
      <c r="I9" s="961"/>
      <c r="J9" s="961"/>
      <c r="K9" s="961"/>
      <c r="L9" s="961"/>
      <c r="M9" s="961"/>
      <c r="N9" s="961"/>
      <c r="O9" s="961"/>
      <c r="P9" s="961"/>
      <c r="Q9" s="961"/>
      <c r="R9" s="961"/>
      <c r="S9" s="961"/>
      <c r="T9" s="961"/>
      <c r="U9" s="958" t="s">
        <v>241</v>
      </c>
      <c r="V9" s="962" t="s">
        <v>8</v>
      </c>
      <c r="W9" s="960" t="s">
        <v>9</v>
      </c>
      <c r="X9" s="960" t="s">
        <v>10</v>
      </c>
      <c r="Y9" s="964" t="s">
        <v>11</v>
      </c>
      <c r="Z9" s="964"/>
      <c r="AA9" s="964"/>
      <c r="AB9" s="964"/>
      <c r="AC9" s="964"/>
      <c r="AD9" s="962" t="s">
        <v>835</v>
      </c>
      <c r="AE9" s="263" t="s">
        <v>892</v>
      </c>
      <c r="AF9" s="264" t="s">
        <v>820</v>
      </c>
      <c r="AG9" s="965" t="s">
        <v>15</v>
      </c>
    </row>
    <row r="10" spans="1:33" s="265" customFormat="1" ht="30" customHeight="1" thickTop="1" thickBot="1" x14ac:dyDescent="0.25">
      <c r="A10" s="957"/>
      <c r="B10" s="959"/>
      <c r="C10" s="959"/>
      <c r="D10" s="958"/>
      <c r="E10" s="958"/>
      <c r="F10" s="958"/>
      <c r="G10" s="958"/>
      <c r="H10" s="266" t="s">
        <v>822</v>
      </c>
      <c r="I10" s="266" t="s">
        <v>823</v>
      </c>
      <c r="J10" s="266" t="s">
        <v>824</v>
      </c>
      <c r="K10" s="266" t="s">
        <v>825</v>
      </c>
      <c r="L10" s="266" t="s">
        <v>826</v>
      </c>
      <c r="M10" s="266" t="s">
        <v>827</v>
      </c>
      <c r="N10" s="266" t="s">
        <v>828</v>
      </c>
      <c r="O10" s="266" t="s">
        <v>829</v>
      </c>
      <c r="P10" s="266" t="s">
        <v>830</v>
      </c>
      <c r="Q10" s="266" t="s">
        <v>831</v>
      </c>
      <c r="R10" s="266" t="s">
        <v>832</v>
      </c>
      <c r="S10" s="266" t="s">
        <v>833</v>
      </c>
      <c r="T10" s="266" t="s">
        <v>890</v>
      </c>
      <c r="U10" s="958"/>
      <c r="V10" s="963"/>
      <c r="W10" s="958"/>
      <c r="X10" s="958"/>
      <c r="Y10" s="267" t="s">
        <v>16</v>
      </c>
      <c r="Z10" s="267" t="s">
        <v>17</v>
      </c>
      <c r="AA10" s="267" t="s">
        <v>18</v>
      </c>
      <c r="AB10" s="267" t="s">
        <v>19</v>
      </c>
      <c r="AC10" s="267" t="s">
        <v>20</v>
      </c>
      <c r="AD10" s="963"/>
      <c r="AE10" s="268" t="s">
        <v>893</v>
      </c>
      <c r="AF10" s="269" t="s">
        <v>244</v>
      </c>
      <c r="AG10" s="966"/>
    </row>
    <row r="11" spans="1:33" s="279" customFormat="1" ht="30" customHeight="1" thickBot="1" x14ac:dyDescent="0.25">
      <c r="A11" s="270" t="s">
        <v>77</v>
      </c>
      <c r="B11" s="270" t="s">
        <v>23</v>
      </c>
      <c r="C11" s="270" t="s">
        <v>24</v>
      </c>
      <c r="D11" s="271" t="s">
        <v>810</v>
      </c>
      <c r="E11" s="271" t="s">
        <v>79</v>
      </c>
      <c r="F11" s="397"/>
      <c r="G11" s="272" t="s">
        <v>80</v>
      </c>
      <c r="H11" s="273">
        <v>474.9</v>
      </c>
      <c r="I11" s="273">
        <v>529.9</v>
      </c>
      <c r="J11" s="273">
        <v>601</v>
      </c>
      <c r="K11" s="273">
        <v>385.2</v>
      </c>
      <c r="L11" s="273"/>
      <c r="M11" s="273"/>
      <c r="N11" s="273"/>
      <c r="O11" s="273"/>
      <c r="P11" s="273"/>
      <c r="Q11" s="273"/>
      <c r="R11" s="273"/>
      <c r="S11" s="273"/>
      <c r="T11" s="273">
        <f t="shared" ref="T11:T23" si="0">SUM(H11:S11)</f>
        <v>1991</v>
      </c>
      <c r="U11" s="274">
        <f ca="1">V11-$AF$8</f>
        <v>-5117</v>
      </c>
      <c r="V11" s="275">
        <v>39265</v>
      </c>
      <c r="W11" s="393" t="s">
        <v>804</v>
      </c>
      <c r="X11" s="393"/>
      <c r="Y11" s="276"/>
      <c r="Z11" s="276"/>
      <c r="AA11" s="276"/>
      <c r="AB11" s="276"/>
      <c r="AC11" s="276"/>
      <c r="AD11" s="277"/>
      <c r="AE11" s="394">
        <v>38901</v>
      </c>
      <c r="AF11" s="278">
        <f ca="1">TODAY()-DATE(YEAR(AE11)+6,MONTH(AE11),DAY(AE11))</f>
        <v>3289</v>
      </c>
      <c r="AG11" s="270" t="s">
        <v>34</v>
      </c>
    </row>
    <row r="12" spans="1:33" s="279" customFormat="1" ht="30" customHeight="1" thickBot="1" x14ac:dyDescent="0.25">
      <c r="A12" s="280" t="s">
        <v>353</v>
      </c>
      <c r="B12" s="280" t="s">
        <v>23</v>
      </c>
      <c r="C12" s="280" t="s">
        <v>24</v>
      </c>
      <c r="D12" s="281" t="s">
        <v>260</v>
      </c>
      <c r="E12" s="281" t="s">
        <v>26</v>
      </c>
      <c r="F12" s="280" t="s">
        <v>262</v>
      </c>
      <c r="G12" s="282" t="s">
        <v>354</v>
      </c>
      <c r="H12" s="283">
        <v>3155</v>
      </c>
      <c r="I12" s="283">
        <v>2278.25</v>
      </c>
      <c r="J12" s="283">
        <v>3525.74</v>
      </c>
      <c r="K12" s="283">
        <v>1909.18</v>
      </c>
      <c r="L12" s="283">
        <v>2957.24</v>
      </c>
      <c r="M12" s="283">
        <v>2353.46</v>
      </c>
      <c r="N12" s="283">
        <v>2762.96</v>
      </c>
      <c r="O12" s="283">
        <v>2645.92</v>
      </c>
      <c r="P12" s="283"/>
      <c r="Q12" s="283"/>
      <c r="R12" s="283"/>
      <c r="S12" s="283"/>
      <c r="T12" s="284">
        <f t="shared" si="0"/>
        <v>21587.75</v>
      </c>
      <c r="U12" s="274">
        <f ca="1">V12-$AF$8</f>
        <v>-4436</v>
      </c>
      <c r="V12" s="285">
        <v>39946</v>
      </c>
      <c r="W12" s="286" t="s">
        <v>804</v>
      </c>
      <c r="X12" s="279" t="s">
        <v>841</v>
      </c>
      <c r="Y12" s="287"/>
      <c r="Z12" s="287"/>
      <c r="AA12" s="287"/>
      <c r="AB12" s="287"/>
      <c r="AC12" s="287"/>
      <c r="AD12" s="288">
        <v>39916</v>
      </c>
      <c r="AE12" s="289">
        <v>39576</v>
      </c>
      <c r="AF12" s="278">
        <f ca="1">TODAY()-DATE(YEAR(AE12)+6,MONTH(AE12),DAY(AE12))</f>
        <v>2615</v>
      </c>
      <c r="AG12" s="280" t="s">
        <v>29</v>
      </c>
    </row>
    <row r="13" spans="1:33" s="279" customFormat="1" ht="30" customHeight="1" thickBot="1" x14ac:dyDescent="0.25">
      <c r="A13" s="280" t="s">
        <v>636</v>
      </c>
      <c r="B13" s="280" t="s">
        <v>507</v>
      </c>
      <c r="C13" s="280" t="s">
        <v>772</v>
      </c>
      <c r="D13" s="290" t="s">
        <v>637</v>
      </c>
      <c r="E13" s="290" t="s">
        <v>638</v>
      </c>
      <c r="F13" s="280"/>
      <c r="G13" s="291">
        <v>26882.400000000001</v>
      </c>
      <c r="H13" s="292"/>
      <c r="I13" s="292"/>
      <c r="J13" s="292"/>
      <c r="K13" s="292"/>
      <c r="L13" s="292"/>
      <c r="M13" s="292"/>
      <c r="N13" s="292"/>
      <c r="O13" s="292"/>
      <c r="P13" s="292"/>
      <c r="Q13" s="292"/>
      <c r="R13" s="292"/>
      <c r="S13" s="292"/>
      <c r="T13" s="284">
        <f t="shared" si="0"/>
        <v>0</v>
      </c>
      <c r="U13" s="274">
        <f ca="1">V13-$AF$8</f>
        <v>-3849</v>
      </c>
      <c r="V13" s="285">
        <v>40533</v>
      </c>
      <c r="W13" s="286" t="s">
        <v>804</v>
      </c>
      <c r="X13" s="298" t="s">
        <v>725</v>
      </c>
      <c r="Y13" s="287"/>
      <c r="Z13" s="287"/>
      <c r="AA13" s="287"/>
      <c r="AB13" s="287"/>
      <c r="AC13" s="287"/>
      <c r="AD13" s="285">
        <v>40504</v>
      </c>
      <c r="AE13" s="294">
        <v>40169</v>
      </c>
      <c r="AF13" s="278">
        <f ca="1">TODAY()-DATE(YEAR(AE13)+6,MONTH(AE13),DAY(AE13))</f>
        <v>2022</v>
      </c>
      <c r="AG13" s="280" t="s">
        <v>41</v>
      </c>
    </row>
    <row r="14" spans="1:33" s="279" customFormat="1" ht="30" customHeight="1" thickBot="1" x14ac:dyDescent="0.25">
      <c r="A14" s="280" t="s">
        <v>797</v>
      </c>
      <c r="B14" s="286" t="s">
        <v>23</v>
      </c>
      <c r="C14" s="280" t="s">
        <v>56</v>
      </c>
      <c r="D14" s="281" t="s">
        <v>186</v>
      </c>
      <c r="E14" s="281" t="s">
        <v>798</v>
      </c>
      <c r="F14" s="280"/>
      <c r="G14" s="282">
        <v>14600</v>
      </c>
      <c r="H14" s="283">
        <v>0</v>
      </c>
      <c r="I14" s="283">
        <v>14600</v>
      </c>
      <c r="J14" s="283">
        <v>0</v>
      </c>
      <c r="K14" s="283">
        <v>0</v>
      </c>
      <c r="L14" s="283">
        <v>0</v>
      </c>
      <c r="M14" s="283">
        <v>0</v>
      </c>
      <c r="N14" s="283">
        <v>0</v>
      </c>
      <c r="O14" s="283">
        <v>0</v>
      </c>
      <c r="P14" s="283">
        <v>0</v>
      </c>
      <c r="Q14" s="283">
        <v>0</v>
      </c>
      <c r="R14" s="283">
        <v>0</v>
      </c>
      <c r="S14" s="283">
        <v>0</v>
      </c>
      <c r="T14" s="284">
        <f t="shared" si="0"/>
        <v>14600</v>
      </c>
      <c r="U14" s="295"/>
      <c r="V14" s="285">
        <v>40584</v>
      </c>
      <c r="W14" s="296" t="s">
        <v>814</v>
      </c>
      <c r="X14" s="298" t="s">
        <v>731</v>
      </c>
      <c r="Y14" s="287"/>
      <c r="Z14" s="287"/>
      <c r="AA14" s="287"/>
      <c r="AB14" s="287"/>
      <c r="AC14" s="287"/>
      <c r="AD14" s="320"/>
      <c r="AE14" s="289">
        <v>40569</v>
      </c>
      <c r="AF14" s="297"/>
      <c r="AG14" s="280" t="s">
        <v>169</v>
      </c>
    </row>
    <row r="15" spans="1:33" s="279" customFormat="1" ht="30" customHeight="1" thickBot="1" x14ac:dyDescent="0.25">
      <c r="A15" s="280" t="s">
        <v>197</v>
      </c>
      <c r="B15" s="280" t="s">
        <v>23</v>
      </c>
      <c r="C15" s="280" t="s">
        <v>56</v>
      </c>
      <c r="D15" s="281" t="s">
        <v>198</v>
      </c>
      <c r="E15" s="281" t="s">
        <v>818</v>
      </c>
      <c r="F15" s="280" t="s">
        <v>338</v>
      </c>
      <c r="G15" s="282">
        <v>2601.12</v>
      </c>
      <c r="H15" s="283">
        <v>216.76</v>
      </c>
      <c r="I15" s="283">
        <v>216.76</v>
      </c>
      <c r="J15" s="283">
        <v>216.76</v>
      </c>
      <c r="K15" s="283">
        <v>0</v>
      </c>
      <c r="L15" s="283">
        <v>0</v>
      </c>
      <c r="M15" s="283">
        <v>0</v>
      </c>
      <c r="N15" s="283">
        <v>0</v>
      </c>
      <c r="O15" s="283">
        <v>0</v>
      </c>
      <c r="P15" s="283">
        <v>0</v>
      </c>
      <c r="Q15" s="283">
        <v>0</v>
      </c>
      <c r="R15" s="283">
        <v>0</v>
      </c>
      <c r="S15" s="283">
        <v>0</v>
      </c>
      <c r="T15" s="284">
        <f t="shared" si="0"/>
        <v>650.28</v>
      </c>
      <c r="U15" s="295"/>
      <c r="V15" s="285">
        <v>40602</v>
      </c>
      <c r="W15" s="296" t="s">
        <v>816</v>
      </c>
      <c r="X15" s="293" t="s">
        <v>735</v>
      </c>
      <c r="Y15" s="287"/>
      <c r="Z15" s="287"/>
      <c r="AA15" s="287"/>
      <c r="AB15" s="287"/>
      <c r="AC15" s="287"/>
      <c r="AD15" s="289">
        <v>40512</v>
      </c>
      <c r="AE15" s="289">
        <v>38412</v>
      </c>
      <c r="AF15" s="297"/>
      <c r="AG15" s="280" t="s">
        <v>201</v>
      </c>
    </row>
    <row r="16" spans="1:33" s="279" customFormat="1" ht="30" customHeight="1" thickBot="1" x14ac:dyDescent="0.25">
      <c r="A16" s="280" t="s">
        <v>792</v>
      </c>
      <c r="B16" s="286" t="s">
        <v>793</v>
      </c>
      <c r="C16" s="280" t="s">
        <v>37</v>
      </c>
      <c r="D16" s="281" t="s">
        <v>794</v>
      </c>
      <c r="E16" s="281" t="s">
        <v>795</v>
      </c>
      <c r="F16" s="280"/>
      <c r="G16" s="282">
        <v>75000</v>
      </c>
      <c r="H16" s="283">
        <v>0</v>
      </c>
      <c r="I16" s="283">
        <v>75000</v>
      </c>
      <c r="J16" s="283">
        <v>0</v>
      </c>
      <c r="K16" s="283">
        <v>0</v>
      </c>
      <c r="L16" s="283">
        <v>0</v>
      </c>
      <c r="M16" s="283">
        <v>0</v>
      </c>
      <c r="N16" s="283">
        <v>0</v>
      </c>
      <c r="O16" s="283">
        <v>0</v>
      </c>
      <c r="P16" s="283">
        <v>0</v>
      </c>
      <c r="Q16" s="283">
        <v>0</v>
      </c>
      <c r="R16" s="283">
        <v>0</v>
      </c>
      <c r="S16" s="283">
        <v>0</v>
      </c>
      <c r="T16" s="284">
        <f t="shared" si="0"/>
        <v>75000</v>
      </c>
      <c r="U16" s="295"/>
      <c r="V16" s="285">
        <v>40614</v>
      </c>
      <c r="W16" s="296" t="s">
        <v>815</v>
      </c>
      <c r="X16" s="298" t="s">
        <v>796</v>
      </c>
      <c r="Y16" s="287"/>
      <c r="Z16" s="287"/>
      <c r="AA16" s="287"/>
      <c r="AB16" s="287"/>
      <c r="AC16" s="287"/>
      <c r="AD16" s="320"/>
      <c r="AE16" s="289">
        <v>40575</v>
      </c>
      <c r="AF16" s="297"/>
      <c r="AG16" s="280"/>
    </row>
    <row r="17" spans="1:33" s="279" customFormat="1" ht="30" customHeight="1" thickBot="1" x14ac:dyDescent="0.25">
      <c r="A17" s="280" t="s">
        <v>811</v>
      </c>
      <c r="B17" s="286" t="s">
        <v>23</v>
      </c>
      <c r="C17" s="280" t="s">
        <v>24</v>
      </c>
      <c r="D17" s="281" t="s">
        <v>812</v>
      </c>
      <c r="E17" s="281" t="s">
        <v>813</v>
      </c>
      <c r="F17" s="280"/>
      <c r="G17" s="282" t="s">
        <v>834</v>
      </c>
      <c r="H17" s="283">
        <v>0</v>
      </c>
      <c r="I17" s="283">
        <v>0</v>
      </c>
      <c r="J17" s="283">
        <v>0</v>
      </c>
      <c r="K17" s="283">
        <v>63931.8</v>
      </c>
      <c r="L17" s="283">
        <v>0</v>
      </c>
      <c r="M17" s="283">
        <v>0</v>
      </c>
      <c r="N17" s="283">
        <v>0</v>
      </c>
      <c r="O17" s="283">
        <v>0</v>
      </c>
      <c r="P17" s="283">
        <v>0</v>
      </c>
      <c r="Q17" s="283">
        <v>0</v>
      </c>
      <c r="R17" s="283">
        <v>0</v>
      </c>
      <c r="S17" s="283">
        <v>0</v>
      </c>
      <c r="T17" s="284">
        <f t="shared" si="0"/>
        <v>63931.8</v>
      </c>
      <c r="U17" s="295"/>
      <c r="V17" s="285">
        <v>40645</v>
      </c>
      <c r="W17" s="296" t="s">
        <v>836</v>
      </c>
      <c r="X17" s="298" t="s">
        <v>887</v>
      </c>
      <c r="Y17" s="287"/>
      <c r="Z17" s="287"/>
      <c r="AA17" s="287"/>
      <c r="AB17" s="287"/>
      <c r="AC17" s="287"/>
      <c r="AD17" s="320"/>
      <c r="AE17" s="289">
        <v>40606</v>
      </c>
      <c r="AF17" s="297"/>
      <c r="AG17" s="280" t="s">
        <v>201</v>
      </c>
    </row>
    <row r="18" spans="1:33" s="308" customFormat="1" ht="30" customHeight="1" thickBot="1" x14ac:dyDescent="0.25">
      <c r="A18" s="299" t="s">
        <v>593</v>
      </c>
      <c r="B18" s="300" t="s">
        <v>23</v>
      </c>
      <c r="C18" s="299" t="s">
        <v>56</v>
      </c>
      <c r="D18" s="301" t="s">
        <v>594</v>
      </c>
      <c r="E18" s="301" t="s">
        <v>595</v>
      </c>
      <c r="F18" s="299"/>
      <c r="G18" s="302">
        <v>7200</v>
      </c>
      <c r="H18" s="284">
        <v>600</v>
      </c>
      <c r="I18" s="284">
        <v>600</v>
      </c>
      <c r="J18" s="284">
        <v>600</v>
      </c>
      <c r="K18" s="284">
        <v>600</v>
      </c>
      <c r="L18" s="284">
        <v>600</v>
      </c>
      <c r="M18" s="284">
        <v>600</v>
      </c>
      <c r="N18" s="284">
        <v>600</v>
      </c>
      <c r="O18" s="284">
        <v>600</v>
      </c>
      <c r="P18" s="284">
        <v>600</v>
      </c>
      <c r="Q18" s="284">
        <v>600</v>
      </c>
      <c r="R18" s="284">
        <v>600</v>
      </c>
      <c r="S18" s="284"/>
      <c r="T18" s="284">
        <f t="shared" si="0"/>
        <v>6600</v>
      </c>
      <c r="U18" s="274">
        <f ca="1">V18-$AF$8</f>
        <v>-3694</v>
      </c>
      <c r="V18" s="303">
        <v>40688</v>
      </c>
      <c r="W18" s="304" t="s">
        <v>694</v>
      </c>
      <c r="X18" s="298" t="s">
        <v>740</v>
      </c>
      <c r="Y18" s="305"/>
      <c r="Z18" s="305"/>
      <c r="AA18" s="305"/>
      <c r="AB18" s="305"/>
      <c r="AC18" s="305"/>
      <c r="AD18" s="306">
        <v>40658</v>
      </c>
      <c r="AE18" s="307">
        <v>39959</v>
      </c>
      <c r="AF18" s="278">
        <f ca="1">TODAY()-DATE(YEAR(AE18)+6,MONTH(AE18),DAY(AE18))</f>
        <v>2232</v>
      </c>
      <c r="AG18" s="299" t="s">
        <v>41</v>
      </c>
    </row>
    <row r="19" spans="1:33" s="311" customFormat="1" ht="30" customHeight="1" thickBot="1" x14ac:dyDescent="0.25">
      <c r="A19" s="299" t="s">
        <v>781</v>
      </c>
      <c r="B19" s="299" t="s">
        <v>790</v>
      </c>
      <c r="C19" s="299" t="s">
        <v>37</v>
      </c>
      <c r="D19" s="301" t="s">
        <v>782</v>
      </c>
      <c r="E19" s="301" t="s">
        <v>783</v>
      </c>
      <c r="F19" s="299"/>
      <c r="G19" s="302" t="s">
        <v>784</v>
      </c>
      <c r="H19" s="284"/>
      <c r="I19" s="284">
        <v>23085</v>
      </c>
      <c r="J19" s="284"/>
      <c r="K19" s="284"/>
      <c r="L19" s="284"/>
      <c r="M19" s="284"/>
      <c r="N19" s="284"/>
      <c r="O19" s="284"/>
      <c r="P19" s="284"/>
      <c r="Q19" s="284"/>
      <c r="R19" s="284"/>
      <c r="S19" s="284"/>
      <c r="T19" s="284">
        <f t="shared" si="0"/>
        <v>23085</v>
      </c>
      <c r="U19" s="274">
        <f ca="1">V19-$AF$8</f>
        <v>-3641</v>
      </c>
      <c r="V19" s="309">
        <v>40741</v>
      </c>
      <c r="W19" s="304" t="s">
        <v>785</v>
      </c>
      <c r="X19" s="310" t="s">
        <v>789</v>
      </c>
      <c r="Y19" s="305"/>
      <c r="Z19" s="305"/>
      <c r="AA19" s="305"/>
      <c r="AB19" s="305"/>
      <c r="AC19" s="305"/>
      <c r="AD19" s="306">
        <v>40711</v>
      </c>
      <c r="AE19" s="307">
        <v>40561</v>
      </c>
      <c r="AF19" s="278">
        <f ca="1">TODAY()-DATE(YEAR(AE19)+6,MONTH(AE19),DAY(AE19))</f>
        <v>1629</v>
      </c>
      <c r="AG19" s="299" t="s">
        <v>41</v>
      </c>
    </row>
    <row r="20" spans="1:33" s="311" customFormat="1" ht="30" customHeight="1" thickBot="1" x14ac:dyDescent="0.25">
      <c r="A20" s="299" t="s">
        <v>805</v>
      </c>
      <c r="B20" s="299" t="s">
        <v>23</v>
      </c>
      <c r="C20" s="299" t="s">
        <v>56</v>
      </c>
      <c r="D20" s="312" t="s">
        <v>806</v>
      </c>
      <c r="E20" s="312" t="s">
        <v>808</v>
      </c>
      <c r="F20" s="299"/>
      <c r="G20" s="313" t="s">
        <v>807</v>
      </c>
      <c r="H20" s="314">
        <v>1237.8</v>
      </c>
      <c r="I20" s="314">
        <v>1180</v>
      </c>
      <c r="J20" s="314">
        <v>1189.2</v>
      </c>
      <c r="K20" s="314">
        <v>1119.2</v>
      </c>
      <c r="L20" s="314">
        <v>1180</v>
      </c>
      <c r="M20" s="314">
        <v>1180</v>
      </c>
      <c r="N20" s="314">
        <v>1177</v>
      </c>
      <c r="O20" s="314">
        <v>1356.4</v>
      </c>
      <c r="P20" s="314">
        <v>0</v>
      </c>
      <c r="Q20" s="314">
        <v>0</v>
      </c>
      <c r="R20" s="314">
        <v>0</v>
      </c>
      <c r="S20" s="314">
        <v>0</v>
      </c>
      <c r="T20" s="284">
        <f t="shared" si="0"/>
        <v>9619.6</v>
      </c>
      <c r="U20" s="295"/>
      <c r="V20" s="303">
        <v>40756</v>
      </c>
      <c r="W20" s="299" t="s">
        <v>906</v>
      </c>
      <c r="X20" s="315" t="s">
        <v>809</v>
      </c>
      <c r="Y20" s="305"/>
      <c r="Z20" s="305"/>
      <c r="AA20" s="305"/>
      <c r="AB20" s="305"/>
      <c r="AC20" s="305"/>
      <c r="AD20" s="303">
        <v>40725</v>
      </c>
      <c r="AE20" s="316">
        <v>40576</v>
      </c>
      <c r="AF20" s="278"/>
      <c r="AG20" s="299" t="s">
        <v>48</v>
      </c>
    </row>
    <row r="21" spans="1:33" s="311" customFormat="1" ht="30" customHeight="1" thickBot="1" x14ac:dyDescent="0.25">
      <c r="A21" s="299" t="s">
        <v>882</v>
      </c>
      <c r="B21" s="299" t="s">
        <v>23</v>
      </c>
      <c r="C21" s="299" t="s">
        <v>56</v>
      </c>
      <c r="D21" s="301" t="s">
        <v>883</v>
      </c>
      <c r="E21" s="301" t="s">
        <v>884</v>
      </c>
      <c r="F21" s="305"/>
      <c r="G21" s="302" t="s">
        <v>885</v>
      </c>
      <c r="H21" s="284">
        <v>0</v>
      </c>
      <c r="I21" s="284">
        <v>0</v>
      </c>
      <c r="J21" s="284">
        <v>0</v>
      </c>
      <c r="K21" s="284">
        <v>0</v>
      </c>
      <c r="L21" s="284">
        <v>0</v>
      </c>
      <c r="M21" s="284">
        <v>0</v>
      </c>
      <c r="N21" s="284">
        <v>0</v>
      </c>
      <c r="O21" s="284">
        <v>0</v>
      </c>
      <c r="P21" s="284">
        <v>9500</v>
      </c>
      <c r="Q21" s="284"/>
      <c r="R21" s="284"/>
      <c r="S21" s="284"/>
      <c r="T21" s="284">
        <f t="shared" si="0"/>
        <v>9500</v>
      </c>
      <c r="U21" s="295"/>
      <c r="V21" s="303">
        <v>40772</v>
      </c>
      <c r="W21" s="317" t="s">
        <v>886</v>
      </c>
      <c r="X21" s="318" t="s">
        <v>889</v>
      </c>
      <c r="Y21" s="305"/>
      <c r="Z21" s="305"/>
      <c r="AA21" s="305"/>
      <c r="AB21" s="305"/>
      <c r="AC21" s="305"/>
      <c r="AD21" s="320"/>
      <c r="AE21" s="307">
        <v>40758</v>
      </c>
      <c r="AF21" s="278"/>
      <c r="AG21" s="299" t="s">
        <v>169</v>
      </c>
    </row>
    <row r="22" spans="1:33" s="311" customFormat="1" ht="30" customHeight="1" thickBot="1" x14ac:dyDescent="0.25">
      <c r="A22" s="299" t="s">
        <v>488</v>
      </c>
      <c r="B22" s="300" t="s">
        <v>251</v>
      </c>
      <c r="C22" s="299" t="s">
        <v>613</v>
      </c>
      <c r="D22" s="301" t="s">
        <v>44</v>
      </c>
      <c r="E22" s="301" t="s">
        <v>653</v>
      </c>
      <c r="F22" s="299" t="s">
        <v>253</v>
      </c>
      <c r="G22" s="302">
        <v>151498.56</v>
      </c>
      <c r="H22" s="284">
        <v>13097.12</v>
      </c>
      <c r="I22" s="284">
        <v>13460.88</v>
      </c>
      <c r="J22" s="284">
        <v>12609.6</v>
      </c>
      <c r="K22" s="284">
        <v>12439.58</v>
      </c>
      <c r="L22" s="284">
        <v>14215.22</v>
      </c>
      <c r="M22" s="284">
        <v>13696.72</v>
      </c>
      <c r="N22" s="284">
        <v>13367.6</v>
      </c>
      <c r="O22" s="284">
        <v>13578.8</v>
      </c>
      <c r="P22" s="284">
        <v>12469.28</v>
      </c>
      <c r="Q22" s="284">
        <v>12448.16</v>
      </c>
      <c r="R22" s="284">
        <v>12500.96</v>
      </c>
      <c r="S22" s="284"/>
      <c r="T22" s="284">
        <f t="shared" si="0"/>
        <v>143883.91999999998</v>
      </c>
      <c r="U22" s="274">
        <f ca="1">V22-$AF$8</f>
        <v>-3594</v>
      </c>
      <c r="V22" s="303">
        <v>40788</v>
      </c>
      <c r="W22" s="304" t="s">
        <v>698</v>
      </c>
      <c r="X22" s="315" t="s">
        <v>746</v>
      </c>
      <c r="Y22" s="305"/>
      <c r="Z22" s="305"/>
      <c r="AA22" s="305"/>
      <c r="AB22" s="305"/>
      <c r="AC22" s="305"/>
      <c r="AD22" s="306">
        <v>40757</v>
      </c>
      <c r="AE22" s="307">
        <v>39328</v>
      </c>
      <c r="AF22" s="278">
        <f ca="1">TODAY()-DATE(YEAR(AE22)+6,MONTH(AE22),DAY(AE22))</f>
        <v>2862</v>
      </c>
      <c r="AG22" s="299" t="s">
        <v>48</v>
      </c>
    </row>
    <row r="23" spans="1:33" s="311" customFormat="1" ht="30" customHeight="1" thickBot="1" x14ac:dyDescent="0.25">
      <c r="A23" s="299" t="s">
        <v>868</v>
      </c>
      <c r="B23" s="300" t="s">
        <v>23</v>
      </c>
      <c r="C23" s="299" t="s">
        <v>56</v>
      </c>
      <c r="D23" s="301" t="s">
        <v>869</v>
      </c>
      <c r="E23" s="301" t="s">
        <v>870</v>
      </c>
      <c r="F23" s="299"/>
      <c r="G23" s="302">
        <v>12000</v>
      </c>
      <c r="H23" s="284">
        <v>0</v>
      </c>
      <c r="I23" s="284">
        <v>0</v>
      </c>
      <c r="J23" s="284">
        <v>0</v>
      </c>
      <c r="K23" s="284">
        <v>0</v>
      </c>
      <c r="L23" s="284">
        <v>0</v>
      </c>
      <c r="M23" s="284">
        <v>0</v>
      </c>
      <c r="N23" s="284">
        <v>0</v>
      </c>
      <c r="O23" s="284">
        <v>0</v>
      </c>
      <c r="P23" s="284">
        <v>12000</v>
      </c>
      <c r="Q23" s="284">
        <v>0</v>
      </c>
      <c r="R23" s="284">
        <v>0</v>
      </c>
      <c r="S23" s="284">
        <v>0</v>
      </c>
      <c r="T23" s="284">
        <f t="shared" si="0"/>
        <v>12000</v>
      </c>
      <c r="U23" s="319"/>
      <c r="V23" s="303">
        <v>40795</v>
      </c>
      <c r="W23" s="304" t="s">
        <v>933</v>
      </c>
      <c r="X23" s="315" t="s">
        <v>871</v>
      </c>
      <c r="Y23" s="305"/>
      <c r="Z23" s="305"/>
      <c r="AA23" s="305"/>
      <c r="AB23" s="305"/>
      <c r="AC23" s="305"/>
      <c r="AD23" s="320"/>
      <c r="AE23" s="307">
        <v>40793</v>
      </c>
      <c r="AF23" s="297"/>
      <c r="AG23" s="299" t="s">
        <v>179</v>
      </c>
    </row>
    <row r="24" spans="1:33" s="311" customFormat="1" ht="30" customHeight="1" thickBot="1" x14ac:dyDescent="0.25">
      <c r="A24" s="299" t="s">
        <v>899</v>
      </c>
      <c r="B24" s="299" t="s">
        <v>23</v>
      </c>
      <c r="C24" s="299" t="s">
        <v>56</v>
      </c>
      <c r="D24" s="301" t="s">
        <v>900</v>
      </c>
      <c r="E24" s="301" t="s">
        <v>901</v>
      </c>
      <c r="F24" s="299"/>
      <c r="G24" s="302">
        <v>4500</v>
      </c>
      <c r="H24" s="284"/>
      <c r="I24" s="284"/>
      <c r="J24" s="284"/>
      <c r="K24" s="284"/>
      <c r="L24" s="284"/>
      <c r="M24" s="284"/>
      <c r="N24" s="284"/>
      <c r="O24" s="284"/>
      <c r="P24" s="284"/>
      <c r="Q24" s="284"/>
      <c r="R24" s="284"/>
      <c r="S24" s="284"/>
      <c r="T24" s="284"/>
      <c r="U24" s="319"/>
      <c r="V24" s="303">
        <v>40808</v>
      </c>
      <c r="W24" s="310" t="s">
        <v>907</v>
      </c>
      <c r="X24" s="310" t="s">
        <v>908</v>
      </c>
      <c r="Y24" s="305"/>
      <c r="Z24" s="305"/>
      <c r="AA24" s="305"/>
      <c r="AB24" s="305"/>
      <c r="AC24" s="305"/>
      <c r="AD24" s="320"/>
      <c r="AE24" s="307">
        <v>40802</v>
      </c>
      <c r="AF24" s="297"/>
      <c r="AG24" s="299" t="s">
        <v>909</v>
      </c>
    </row>
    <row r="25" spans="1:33" s="311" customFormat="1" ht="30" customHeight="1" thickBot="1" x14ac:dyDescent="0.25">
      <c r="A25" s="299" t="s">
        <v>515</v>
      </c>
      <c r="B25" s="300" t="s">
        <v>23</v>
      </c>
      <c r="C25" s="326" t="s">
        <v>56</v>
      </c>
      <c r="D25" s="301" t="s">
        <v>516</v>
      </c>
      <c r="E25" s="301" t="s">
        <v>517</v>
      </c>
      <c r="F25" s="299"/>
      <c r="G25" s="302">
        <f>1247.08*12</f>
        <v>14964.96</v>
      </c>
      <c r="H25" s="284">
        <v>1266.47</v>
      </c>
      <c r="I25" s="284">
        <v>1266.47</v>
      </c>
      <c r="J25" s="284">
        <v>1266.47</v>
      </c>
      <c r="K25" s="284">
        <v>1635.71</v>
      </c>
      <c r="L25" s="284">
        <v>1240.8800000000001</v>
      </c>
      <c r="M25" s="284">
        <v>1240.8800000000001</v>
      </c>
      <c r="N25" s="284">
        <v>1292.05</v>
      </c>
      <c r="O25" s="284">
        <v>0</v>
      </c>
      <c r="P25" s="284">
        <f>1317.64+1356.01</f>
        <v>2673.65</v>
      </c>
      <c r="Q25" s="284">
        <v>1417.18</v>
      </c>
      <c r="R25" s="284"/>
      <c r="S25" s="284"/>
      <c r="T25" s="284">
        <f t="shared" ref="T25:T60" si="1">SUM(H25:S25)</f>
        <v>13299.76</v>
      </c>
      <c r="U25" s="274">
        <f ca="1">V25-$AF$8</f>
        <v>-3566</v>
      </c>
      <c r="V25" s="309">
        <v>40816</v>
      </c>
      <c r="W25" s="304" t="s">
        <v>715</v>
      </c>
      <c r="X25" s="315" t="s">
        <v>747</v>
      </c>
      <c r="Y25" s="305"/>
      <c r="Z25" s="305"/>
      <c r="AA25" s="305"/>
      <c r="AB25" s="305"/>
      <c r="AC25" s="305"/>
      <c r="AD25" s="306">
        <v>40786</v>
      </c>
      <c r="AE25" s="307">
        <v>39722</v>
      </c>
      <c r="AF25" s="278">
        <f ca="1">TODAY()-DATE(YEAR(AE25)+6,MONTH(AE25),DAY(AE25))</f>
        <v>2469</v>
      </c>
      <c r="AG25" s="299" t="s">
        <v>96</v>
      </c>
    </row>
    <row r="26" spans="1:33" s="311" customFormat="1" ht="30" customHeight="1" thickBot="1" x14ac:dyDescent="0.25">
      <c r="A26" s="299" t="s">
        <v>259</v>
      </c>
      <c r="B26" s="299" t="s">
        <v>23</v>
      </c>
      <c r="C26" s="299" t="s">
        <v>24</v>
      </c>
      <c r="D26" s="301" t="s">
        <v>260</v>
      </c>
      <c r="E26" s="301" t="s">
        <v>656</v>
      </c>
      <c r="F26" s="299" t="s">
        <v>262</v>
      </c>
      <c r="G26" s="302" t="s">
        <v>842</v>
      </c>
      <c r="H26" s="284"/>
      <c r="I26" s="284">
        <f>184.6+5527.7</f>
        <v>5712.3</v>
      </c>
      <c r="J26" s="284">
        <f>5576.64+95.21+79.83+10+5696.71</f>
        <v>11458.39</v>
      </c>
      <c r="K26" s="284">
        <f>4870.48+24.48</f>
        <v>4894.9599999999991</v>
      </c>
      <c r="L26" s="284">
        <f>13.61+5545.01+706.49</f>
        <v>6265.11</v>
      </c>
      <c r="M26" s="284">
        <f>71.83+26+6919.61</f>
        <v>7017.44</v>
      </c>
      <c r="N26" s="284">
        <f>5847.49+631.98</f>
        <v>6479.4699999999993</v>
      </c>
      <c r="O26" s="284">
        <f>55.34+7157.06</f>
        <v>7212.4000000000005</v>
      </c>
      <c r="P26" s="284"/>
      <c r="Q26" s="284"/>
      <c r="R26" s="284"/>
      <c r="S26" s="284"/>
      <c r="T26" s="284">
        <f t="shared" si="1"/>
        <v>49040.07</v>
      </c>
      <c r="U26" s="274">
        <f ca="1">V26-$AF$8</f>
        <v>-3566</v>
      </c>
      <c r="V26" s="309">
        <v>40816</v>
      </c>
      <c r="W26" s="304" t="s">
        <v>862</v>
      </c>
      <c r="X26" s="310" t="s">
        <v>841</v>
      </c>
      <c r="Y26" s="305"/>
      <c r="Z26" s="305"/>
      <c r="AA26" s="305"/>
      <c r="AB26" s="305"/>
      <c r="AC26" s="305"/>
      <c r="AD26" s="306">
        <v>40785</v>
      </c>
      <c r="AE26" s="307">
        <v>39356</v>
      </c>
      <c r="AF26" s="278">
        <f ca="1">TODAY()-DATE(YEAR(AE26)+6,MONTH(AE26),DAY(AE26))</f>
        <v>2834</v>
      </c>
      <c r="AG26" s="299" t="s">
        <v>34</v>
      </c>
    </row>
    <row r="27" spans="1:33" s="217" customFormat="1" ht="20.25" customHeight="1" thickBot="1" x14ac:dyDescent="0.25">
      <c r="A27" s="338" t="s">
        <v>709</v>
      </c>
      <c r="B27" s="339" t="s">
        <v>23</v>
      </c>
      <c r="C27" s="339" t="s">
        <v>61</v>
      </c>
      <c r="D27" s="340" t="s">
        <v>268</v>
      </c>
      <c r="E27" s="340" t="s">
        <v>604</v>
      </c>
      <c r="F27" s="339" t="s">
        <v>269</v>
      </c>
      <c r="G27" s="302" t="s">
        <v>850</v>
      </c>
      <c r="H27" s="341"/>
      <c r="I27" s="342">
        <v>17255.3</v>
      </c>
      <c r="J27" s="341">
        <v>17746.2</v>
      </c>
      <c r="K27" s="341">
        <v>18949.599999999999</v>
      </c>
      <c r="L27" s="341">
        <v>18444</v>
      </c>
      <c r="M27" s="341">
        <v>19045.169999999998</v>
      </c>
      <c r="N27" s="341">
        <v>19662.5</v>
      </c>
      <c r="O27" s="341">
        <v>20332.79</v>
      </c>
      <c r="P27" s="341">
        <v>21178.81</v>
      </c>
      <c r="Q27" s="341">
        <v>18623</v>
      </c>
      <c r="R27" s="343"/>
      <c r="S27" s="342"/>
      <c r="T27" s="342">
        <f t="shared" si="1"/>
        <v>171237.37</v>
      </c>
      <c r="U27" s="344">
        <f ca="1">V27-$AF$8</f>
        <v>-3540</v>
      </c>
      <c r="V27" s="398">
        <v>40842</v>
      </c>
      <c r="W27" s="345" t="s">
        <v>844</v>
      </c>
      <c r="X27" s="315" t="s">
        <v>751</v>
      </c>
      <c r="Y27" s="305"/>
      <c r="Z27" s="305"/>
      <c r="AA27" s="305"/>
      <c r="AB27" s="305"/>
      <c r="AC27" s="305"/>
      <c r="AD27" s="306">
        <v>40812</v>
      </c>
      <c r="AE27" s="346">
        <v>40478</v>
      </c>
      <c r="AF27" s="278">
        <f ca="1">TODAY()-DATE(YEAR(AE27)+6,MONTH(AE27),DAY(AE27))</f>
        <v>1712</v>
      </c>
      <c r="AG27" s="299" t="s">
        <v>96</v>
      </c>
    </row>
    <row r="28" spans="1:33" s="311" customFormat="1" ht="30" customHeight="1" thickBot="1" x14ac:dyDescent="0.25">
      <c r="A28" s="254" t="s">
        <v>119</v>
      </c>
      <c r="B28" s="254" t="s">
        <v>23</v>
      </c>
      <c r="C28" s="254" t="s">
        <v>61</v>
      </c>
      <c r="D28" s="255" t="s">
        <v>268</v>
      </c>
      <c r="E28" s="255" t="s">
        <v>604</v>
      </c>
      <c r="F28" s="254" t="s">
        <v>269</v>
      </c>
      <c r="G28" s="302" t="s">
        <v>850</v>
      </c>
      <c r="H28" s="284">
        <v>17255.3</v>
      </c>
      <c r="I28" s="284">
        <v>17746.2</v>
      </c>
      <c r="J28" s="284">
        <v>18949.599999999999</v>
      </c>
      <c r="K28" s="284">
        <v>18444</v>
      </c>
      <c r="L28" s="284">
        <v>19045.169999999998</v>
      </c>
      <c r="M28" s="284">
        <v>19662.5</v>
      </c>
      <c r="N28" s="284">
        <v>20332.79</v>
      </c>
      <c r="O28" s="284">
        <v>21178.81</v>
      </c>
      <c r="P28" s="284">
        <v>18623</v>
      </c>
      <c r="Q28" s="256"/>
      <c r="R28" s="254"/>
      <c r="S28" s="247"/>
      <c r="T28" s="284">
        <f t="shared" si="1"/>
        <v>171237.37</v>
      </c>
      <c r="U28" s="247">
        <f ca="1">V28-$AF$8</f>
        <v>-3540</v>
      </c>
      <c r="V28" s="347">
        <v>40842</v>
      </c>
      <c r="W28" s="257" t="s">
        <v>923</v>
      </c>
      <c r="X28" s="315" t="s">
        <v>751</v>
      </c>
      <c r="Y28" s="305"/>
      <c r="Z28" s="305"/>
      <c r="AA28" s="305"/>
      <c r="AB28" s="305"/>
      <c r="AC28" s="305"/>
      <c r="AD28" s="306">
        <v>40812</v>
      </c>
      <c r="AE28" s="256">
        <v>38652</v>
      </c>
      <c r="AF28" s="278">
        <f ca="1">TODAY()-DATE(YEAR(AE28)+6,MONTH(AE28),DAY(AE28))</f>
        <v>3539</v>
      </c>
      <c r="AG28" s="299" t="s">
        <v>96</v>
      </c>
    </row>
    <row r="29" spans="1:33" s="311" customFormat="1" ht="30" customHeight="1" thickBot="1" x14ac:dyDescent="0.25">
      <c r="A29" s="299" t="s">
        <v>877</v>
      </c>
      <c r="B29" s="299" t="s">
        <v>23</v>
      </c>
      <c r="C29" s="299" t="s">
        <v>56</v>
      </c>
      <c r="D29" s="301" t="s">
        <v>881</v>
      </c>
      <c r="E29" s="301" t="s">
        <v>878</v>
      </c>
      <c r="F29" s="305"/>
      <c r="G29" s="302" t="s">
        <v>879</v>
      </c>
      <c r="H29" s="284">
        <v>0</v>
      </c>
      <c r="I29" s="284">
        <v>0</v>
      </c>
      <c r="J29" s="284">
        <v>0</v>
      </c>
      <c r="K29" s="284">
        <v>0</v>
      </c>
      <c r="L29" s="284">
        <v>0</v>
      </c>
      <c r="M29" s="284">
        <v>0</v>
      </c>
      <c r="N29" s="284">
        <v>0</v>
      </c>
      <c r="O29" s="284"/>
      <c r="P29" s="284"/>
      <c r="Q29" s="284"/>
      <c r="R29" s="284"/>
      <c r="S29" s="284"/>
      <c r="T29" s="284">
        <f t="shared" si="1"/>
        <v>0</v>
      </c>
      <c r="U29" s="295"/>
      <c r="V29" s="303">
        <v>40845</v>
      </c>
      <c r="W29" s="317" t="s">
        <v>880</v>
      </c>
      <c r="X29" s="318" t="s">
        <v>888</v>
      </c>
      <c r="Y29" s="305"/>
      <c r="Z29" s="305"/>
      <c r="AA29" s="305"/>
      <c r="AB29" s="305"/>
      <c r="AC29" s="305"/>
      <c r="AD29" s="295"/>
      <c r="AE29" s="307">
        <v>40786</v>
      </c>
      <c r="AF29" s="278"/>
      <c r="AG29" s="299" t="s">
        <v>41</v>
      </c>
    </row>
    <row r="30" spans="1:33" s="311" customFormat="1" ht="30" customHeight="1" thickBot="1" x14ac:dyDescent="0.25">
      <c r="A30" s="299" t="s">
        <v>137</v>
      </c>
      <c r="B30" s="299" t="s">
        <v>23</v>
      </c>
      <c r="C30" s="299" t="s">
        <v>56</v>
      </c>
      <c r="D30" s="301" t="s">
        <v>138</v>
      </c>
      <c r="E30" s="301" t="s">
        <v>139</v>
      </c>
      <c r="F30" s="299" t="s">
        <v>281</v>
      </c>
      <c r="G30" s="302" t="s">
        <v>706</v>
      </c>
      <c r="H30" s="284">
        <v>642.75</v>
      </c>
      <c r="I30" s="284">
        <v>642.75</v>
      </c>
      <c r="J30" s="284">
        <v>642.75</v>
      </c>
      <c r="K30" s="284">
        <v>642.75</v>
      </c>
      <c r="L30" s="284">
        <v>642.75</v>
      </c>
      <c r="M30" s="284">
        <v>642.75</v>
      </c>
      <c r="N30" s="284">
        <v>642.75</v>
      </c>
      <c r="O30" s="284">
        <v>642.75</v>
      </c>
      <c r="P30" s="284">
        <v>642.75</v>
      </c>
      <c r="Q30" s="284">
        <v>642.75</v>
      </c>
      <c r="R30" s="284"/>
      <c r="S30" s="284"/>
      <c r="T30" s="284">
        <f t="shared" si="1"/>
        <v>6427.5</v>
      </c>
      <c r="U30" s="274">
        <f t="shared" ref="U30:U66" ca="1" si="2">V30-$AF$8</f>
        <v>-3520</v>
      </c>
      <c r="V30" s="303">
        <v>40862</v>
      </c>
      <c r="W30" s="304" t="s">
        <v>707</v>
      </c>
      <c r="X30" s="315" t="s">
        <v>740</v>
      </c>
      <c r="Y30" s="305"/>
      <c r="Z30" s="305"/>
      <c r="AA30" s="305"/>
      <c r="AB30" s="305"/>
      <c r="AC30" s="305"/>
      <c r="AD30" s="306">
        <v>40830</v>
      </c>
      <c r="AE30" s="307">
        <v>39037</v>
      </c>
      <c r="AF30" s="278">
        <f t="shared" ref="AF30:AF43" ca="1" si="3">TODAY()-DATE(YEAR(AE30)+6,MONTH(AE30),DAY(AE30))</f>
        <v>3153</v>
      </c>
      <c r="AG30" s="299" t="s">
        <v>48</v>
      </c>
    </row>
    <row r="31" spans="1:33" s="311" customFormat="1" ht="30" customHeight="1" thickBot="1" x14ac:dyDescent="0.25">
      <c r="A31" s="299" t="s">
        <v>286</v>
      </c>
      <c r="B31" s="300" t="s">
        <v>251</v>
      </c>
      <c r="C31" s="299" t="s">
        <v>37</v>
      </c>
      <c r="D31" s="301" t="s">
        <v>287</v>
      </c>
      <c r="E31" s="301" t="s">
        <v>288</v>
      </c>
      <c r="F31" s="299" t="s">
        <v>246</v>
      </c>
      <c r="G31" s="302" t="s">
        <v>921</v>
      </c>
      <c r="H31" s="284"/>
      <c r="I31" s="284"/>
      <c r="J31" s="284"/>
      <c r="K31" s="284"/>
      <c r="L31" s="284"/>
      <c r="M31" s="284"/>
      <c r="N31" s="284"/>
      <c r="O31" s="284"/>
      <c r="P31" s="284"/>
      <c r="Q31" s="284"/>
      <c r="R31" s="284"/>
      <c r="S31" s="284"/>
      <c r="T31" s="284">
        <f t="shared" si="1"/>
        <v>0</v>
      </c>
      <c r="U31" s="274">
        <f t="shared" ca="1" si="2"/>
        <v>-3500</v>
      </c>
      <c r="V31" s="309">
        <v>40882</v>
      </c>
      <c r="W31" s="304" t="s">
        <v>867</v>
      </c>
      <c r="X31" s="315" t="s">
        <v>723</v>
      </c>
      <c r="Y31" s="305"/>
      <c r="Z31" s="305"/>
      <c r="AA31" s="305"/>
      <c r="AB31" s="305"/>
      <c r="AC31" s="305"/>
      <c r="AD31" s="306">
        <v>40854</v>
      </c>
      <c r="AE31" s="307">
        <v>39300</v>
      </c>
      <c r="AF31" s="278">
        <f t="shared" ca="1" si="3"/>
        <v>2890</v>
      </c>
      <c r="AG31" s="299" t="s">
        <v>649</v>
      </c>
    </row>
    <row r="32" spans="1:33" s="311" customFormat="1" ht="30" customHeight="1" thickBot="1" x14ac:dyDescent="0.25">
      <c r="A32" s="299" t="s">
        <v>765</v>
      </c>
      <c r="B32" s="299" t="s">
        <v>773</v>
      </c>
      <c r="C32" s="299" t="s">
        <v>37</v>
      </c>
      <c r="D32" s="301" t="s">
        <v>88</v>
      </c>
      <c r="E32" s="301" t="s">
        <v>766</v>
      </c>
      <c r="F32" s="299"/>
      <c r="G32" s="302">
        <v>29040</v>
      </c>
      <c r="H32" s="284">
        <v>2420</v>
      </c>
      <c r="I32" s="284">
        <v>2420</v>
      </c>
      <c r="J32" s="284">
        <v>2420</v>
      </c>
      <c r="K32" s="284">
        <v>2420</v>
      </c>
      <c r="L32" s="284">
        <v>2420</v>
      </c>
      <c r="M32" s="284">
        <v>2420</v>
      </c>
      <c r="N32" s="284">
        <v>2420</v>
      </c>
      <c r="O32" s="284">
        <v>2420</v>
      </c>
      <c r="P32" s="284">
        <v>2200</v>
      </c>
      <c r="Q32" s="284">
        <v>2200</v>
      </c>
      <c r="R32" s="284"/>
      <c r="S32" s="284"/>
      <c r="T32" s="284">
        <f t="shared" si="1"/>
        <v>23760</v>
      </c>
      <c r="U32" s="274">
        <f t="shared" ca="1" si="2"/>
        <v>-3491</v>
      </c>
      <c r="V32" s="303">
        <v>40891</v>
      </c>
      <c r="W32" s="304" t="s">
        <v>767</v>
      </c>
      <c r="X32" s="315" t="s">
        <v>775</v>
      </c>
      <c r="Y32" s="305"/>
      <c r="Z32" s="305"/>
      <c r="AA32" s="305"/>
      <c r="AB32" s="305"/>
      <c r="AC32" s="305"/>
      <c r="AD32" s="306">
        <v>40858</v>
      </c>
      <c r="AE32" s="307">
        <v>40527</v>
      </c>
      <c r="AF32" s="278">
        <f t="shared" ca="1" si="3"/>
        <v>1663</v>
      </c>
      <c r="AG32" s="310" t="s">
        <v>48</v>
      </c>
    </row>
    <row r="33" spans="1:33" s="311" customFormat="1" ht="30" customHeight="1" thickBot="1" x14ac:dyDescent="0.25">
      <c r="A33" s="299" t="s">
        <v>294</v>
      </c>
      <c r="B33" s="299" t="s">
        <v>23</v>
      </c>
      <c r="C33" s="299" t="s">
        <v>56</v>
      </c>
      <c r="D33" s="301" t="s">
        <v>295</v>
      </c>
      <c r="E33" s="301" t="s">
        <v>296</v>
      </c>
      <c r="F33" s="299" t="s">
        <v>297</v>
      </c>
      <c r="G33" s="302">
        <v>6600</v>
      </c>
      <c r="H33" s="284">
        <v>550</v>
      </c>
      <c r="I33" s="284">
        <v>550</v>
      </c>
      <c r="J33" s="284">
        <v>550</v>
      </c>
      <c r="K33" s="284">
        <v>550</v>
      </c>
      <c r="L33" s="284">
        <v>550</v>
      </c>
      <c r="M33" s="284">
        <v>550</v>
      </c>
      <c r="N33" s="284">
        <v>550</v>
      </c>
      <c r="O33" s="284">
        <v>550</v>
      </c>
      <c r="P33" s="284">
        <v>550</v>
      </c>
      <c r="Q33" s="284">
        <v>550</v>
      </c>
      <c r="R33" s="284">
        <v>550</v>
      </c>
      <c r="S33" s="284"/>
      <c r="T33" s="284">
        <f t="shared" si="1"/>
        <v>6050</v>
      </c>
      <c r="U33" s="274">
        <f t="shared" ca="1" si="2"/>
        <v>-3487</v>
      </c>
      <c r="V33" s="303">
        <v>40895</v>
      </c>
      <c r="W33" s="304" t="s">
        <v>777</v>
      </c>
      <c r="X33" s="315" t="s">
        <v>724</v>
      </c>
      <c r="Y33" s="305"/>
      <c r="Z33" s="305"/>
      <c r="AA33" s="305"/>
      <c r="AB33" s="305"/>
      <c r="AC33" s="305"/>
      <c r="AD33" s="306">
        <v>40865</v>
      </c>
      <c r="AE33" s="307">
        <v>39435</v>
      </c>
      <c r="AF33" s="278">
        <f t="shared" ca="1" si="3"/>
        <v>2755</v>
      </c>
      <c r="AG33" s="299" t="s">
        <v>48</v>
      </c>
    </row>
    <row r="34" spans="1:33" s="311" customFormat="1" ht="30" customHeight="1" thickBot="1" x14ac:dyDescent="0.25">
      <c r="A34" s="299" t="s">
        <v>164</v>
      </c>
      <c r="B34" s="300" t="s">
        <v>165</v>
      </c>
      <c r="C34" s="299" t="s">
        <v>37</v>
      </c>
      <c r="D34" s="301" t="s">
        <v>303</v>
      </c>
      <c r="E34" s="301" t="s">
        <v>167</v>
      </c>
      <c r="F34" s="299" t="s">
        <v>304</v>
      </c>
      <c r="G34" s="302">
        <v>35559.599999999999</v>
      </c>
      <c r="H34" s="284"/>
      <c r="I34" s="284">
        <v>2784.52</v>
      </c>
      <c r="J34" s="284">
        <f>2784.52+920.53</f>
        <v>3705.05</v>
      </c>
      <c r="K34" s="284">
        <f>2784.52+920.53</f>
        <v>3705.05</v>
      </c>
      <c r="L34" s="284">
        <v>2784.52</v>
      </c>
      <c r="M34" s="284">
        <v>2784.52</v>
      </c>
      <c r="N34" s="284">
        <v>2784.62</v>
      </c>
      <c r="O34" s="284">
        <v>2963.3</v>
      </c>
      <c r="P34" s="284">
        <f>2784.42+920.53+219.77</f>
        <v>3924.72</v>
      </c>
      <c r="Q34" s="284">
        <f>2784.42+920.53+219.77</f>
        <v>3924.72</v>
      </c>
      <c r="R34" s="284"/>
      <c r="S34" s="284"/>
      <c r="T34" s="284">
        <f t="shared" si="1"/>
        <v>29361.02</v>
      </c>
      <c r="U34" s="274">
        <f t="shared" ca="1" si="2"/>
        <v>-3477</v>
      </c>
      <c r="V34" s="309">
        <v>40905</v>
      </c>
      <c r="W34" s="304" t="s">
        <v>799</v>
      </c>
      <c r="X34" s="315" t="s">
        <v>727</v>
      </c>
      <c r="Y34" s="305"/>
      <c r="Z34" s="305"/>
      <c r="AA34" s="305"/>
      <c r="AB34" s="305"/>
      <c r="AC34" s="305"/>
      <c r="AD34" s="306">
        <v>40875</v>
      </c>
      <c r="AE34" s="307">
        <v>39080</v>
      </c>
      <c r="AF34" s="278">
        <f t="shared" ca="1" si="3"/>
        <v>3110</v>
      </c>
      <c r="AG34" s="299" t="s">
        <v>169</v>
      </c>
    </row>
    <row r="35" spans="1:33" s="311" customFormat="1" ht="30" customHeight="1" thickBot="1" x14ac:dyDescent="0.25">
      <c r="A35" s="299" t="s">
        <v>318</v>
      </c>
      <c r="B35" s="299" t="s">
        <v>23</v>
      </c>
      <c r="C35" s="299" t="s">
        <v>56</v>
      </c>
      <c r="D35" s="301" t="s">
        <v>83</v>
      </c>
      <c r="E35" s="301" t="s">
        <v>319</v>
      </c>
      <c r="F35" s="299" t="s">
        <v>320</v>
      </c>
      <c r="G35" s="302" t="s">
        <v>769</v>
      </c>
      <c r="H35" s="284">
        <v>503.1</v>
      </c>
      <c r="I35" s="284">
        <v>451.5</v>
      </c>
      <c r="J35" s="284">
        <v>503.1</v>
      </c>
      <c r="K35" s="284">
        <v>464.4</v>
      </c>
      <c r="L35" s="284">
        <v>477.3</v>
      </c>
      <c r="M35" s="284">
        <v>460.1</v>
      </c>
      <c r="N35" s="284">
        <v>490.2</v>
      </c>
      <c r="O35" s="284">
        <v>593.4</v>
      </c>
      <c r="P35" s="284">
        <v>593.4</v>
      </c>
      <c r="Q35" s="284">
        <v>662.5</v>
      </c>
      <c r="R35" s="284">
        <v>537.5</v>
      </c>
      <c r="S35" s="284"/>
      <c r="T35" s="284">
        <f t="shared" si="1"/>
        <v>5736.5</v>
      </c>
      <c r="U35" s="274">
        <f t="shared" ca="1" si="2"/>
        <v>-3472</v>
      </c>
      <c r="V35" s="303">
        <v>40910</v>
      </c>
      <c r="W35" s="304" t="s">
        <v>770</v>
      </c>
      <c r="X35" s="315" t="s">
        <v>730</v>
      </c>
      <c r="Y35" s="305"/>
      <c r="Z35" s="305"/>
      <c r="AA35" s="305"/>
      <c r="AB35" s="305"/>
      <c r="AC35" s="305"/>
      <c r="AD35" s="306">
        <v>40879</v>
      </c>
      <c r="AE35" s="307">
        <v>39480</v>
      </c>
      <c r="AF35" s="278">
        <f t="shared" ca="1" si="3"/>
        <v>2710</v>
      </c>
      <c r="AG35" s="299" t="s">
        <v>48</v>
      </c>
    </row>
    <row r="36" spans="1:33" s="311" customFormat="1" ht="30" customHeight="1" thickBot="1" x14ac:dyDescent="0.25">
      <c r="A36" s="299" t="s">
        <v>658</v>
      </c>
      <c r="B36" s="299" t="s">
        <v>23</v>
      </c>
      <c r="C36" s="299" t="s">
        <v>24</v>
      </c>
      <c r="D36" s="301" t="s">
        <v>171</v>
      </c>
      <c r="E36" s="301" t="s">
        <v>779</v>
      </c>
      <c r="F36" s="299" t="s">
        <v>306</v>
      </c>
      <c r="G36" s="302" t="s">
        <v>659</v>
      </c>
      <c r="H36" s="284">
        <v>4092.72</v>
      </c>
      <c r="I36" s="284">
        <v>3164.57</v>
      </c>
      <c r="J36" s="284">
        <v>3164.57</v>
      </c>
      <c r="K36" s="284">
        <v>3400.97</v>
      </c>
      <c r="L36" s="284">
        <v>3746.09</v>
      </c>
      <c r="M36" s="284">
        <v>2597.65</v>
      </c>
      <c r="N36" s="284">
        <v>4027.66</v>
      </c>
      <c r="O36" s="284">
        <v>3521.87</v>
      </c>
      <c r="P36" s="284">
        <v>3124.67</v>
      </c>
      <c r="Q36" s="284">
        <v>3627.09</v>
      </c>
      <c r="R36" s="284"/>
      <c r="S36" s="284"/>
      <c r="T36" s="284">
        <f t="shared" si="1"/>
        <v>34467.86</v>
      </c>
      <c r="U36" s="274">
        <f t="shared" ca="1" si="2"/>
        <v>-3471</v>
      </c>
      <c r="V36" s="303">
        <v>40911</v>
      </c>
      <c r="W36" s="304" t="s">
        <v>778</v>
      </c>
      <c r="X36" s="315" t="s">
        <v>753</v>
      </c>
      <c r="Y36" s="305"/>
      <c r="Z36" s="305"/>
      <c r="AA36" s="305"/>
      <c r="AB36" s="305"/>
      <c r="AC36" s="305"/>
      <c r="AD36" s="306">
        <v>40879</v>
      </c>
      <c r="AE36" s="307">
        <v>40182</v>
      </c>
      <c r="AF36" s="278">
        <f t="shared" ca="1" si="3"/>
        <v>2009</v>
      </c>
      <c r="AG36" s="299" t="s">
        <v>54</v>
      </c>
    </row>
    <row r="37" spans="1:33" s="311" customFormat="1" ht="30" customHeight="1" thickBot="1" x14ac:dyDescent="0.25">
      <c r="A37" s="299" t="s">
        <v>184</v>
      </c>
      <c r="B37" s="300" t="s">
        <v>185</v>
      </c>
      <c r="C37" s="299" t="s">
        <v>37</v>
      </c>
      <c r="D37" s="301" t="s">
        <v>186</v>
      </c>
      <c r="E37" s="301" t="s">
        <v>187</v>
      </c>
      <c r="F37" s="299" t="s">
        <v>315</v>
      </c>
      <c r="G37" s="302">
        <f>7314.73*12</f>
        <v>87776.76</v>
      </c>
      <c r="H37" s="284">
        <v>6895.22</v>
      </c>
      <c r="I37" s="284">
        <v>6895.22</v>
      </c>
      <c r="J37" s="284">
        <v>6895.22</v>
      </c>
      <c r="K37" s="284">
        <v>6895.22</v>
      </c>
      <c r="L37" s="284">
        <v>8992.77</v>
      </c>
      <c r="M37" s="284">
        <v>7314.73</v>
      </c>
      <c r="N37" s="284">
        <v>7314.73</v>
      </c>
      <c r="O37" s="284">
        <v>7314.73</v>
      </c>
      <c r="P37" s="284"/>
      <c r="Q37" s="284"/>
      <c r="R37" s="284"/>
      <c r="S37" s="284"/>
      <c r="T37" s="284">
        <f t="shared" si="1"/>
        <v>58517.84</v>
      </c>
      <c r="U37" s="274">
        <f t="shared" ca="1" si="2"/>
        <v>-3459</v>
      </c>
      <c r="V37" s="303">
        <v>40923</v>
      </c>
      <c r="W37" s="304" t="s">
        <v>764</v>
      </c>
      <c r="X37" s="315" t="s">
        <v>731</v>
      </c>
      <c r="Y37" s="305"/>
      <c r="Z37" s="305"/>
      <c r="AA37" s="305"/>
      <c r="AB37" s="305"/>
      <c r="AC37" s="305"/>
      <c r="AD37" s="306">
        <v>40835</v>
      </c>
      <c r="AE37" s="307">
        <v>38732</v>
      </c>
      <c r="AF37" s="278">
        <f t="shared" ca="1" si="3"/>
        <v>3459</v>
      </c>
      <c r="AG37" s="299" t="s">
        <v>169</v>
      </c>
    </row>
    <row r="38" spans="1:33" s="311" customFormat="1" ht="30" customHeight="1" thickBot="1" x14ac:dyDescent="0.25">
      <c r="A38" s="299" t="s">
        <v>599</v>
      </c>
      <c r="B38" s="299" t="s">
        <v>600</v>
      </c>
      <c r="C38" s="299" t="s">
        <v>613</v>
      </c>
      <c r="D38" s="301" t="s">
        <v>695</v>
      </c>
      <c r="E38" s="301" t="s">
        <v>696</v>
      </c>
      <c r="F38" s="299"/>
      <c r="G38" s="302">
        <v>309430.8</v>
      </c>
      <c r="H38" s="284">
        <v>24551.84</v>
      </c>
      <c r="I38" s="284">
        <v>24035.24</v>
      </c>
      <c r="J38" s="284">
        <v>25798.240000000002</v>
      </c>
      <c r="K38" s="284">
        <v>24035.24</v>
      </c>
      <c r="L38" s="284">
        <v>29392.799999999999</v>
      </c>
      <c r="M38" s="284">
        <v>27679.26</v>
      </c>
      <c r="N38" s="284">
        <v>28077.4</v>
      </c>
      <c r="O38" s="284">
        <v>28926.959999999999</v>
      </c>
      <c r="P38" s="284"/>
      <c r="Q38" s="284">
        <v>27301.03</v>
      </c>
      <c r="R38" s="284"/>
      <c r="S38" s="284"/>
      <c r="T38" s="284">
        <f t="shared" si="1"/>
        <v>239798.01</v>
      </c>
      <c r="U38" s="274">
        <f t="shared" ca="1" si="2"/>
        <v>-3433</v>
      </c>
      <c r="V38" s="303">
        <v>40949</v>
      </c>
      <c r="W38" s="304" t="s">
        <v>843</v>
      </c>
      <c r="X38" s="315" t="s">
        <v>732</v>
      </c>
      <c r="Y38" s="305"/>
      <c r="Z38" s="305"/>
      <c r="AA38" s="305"/>
      <c r="AB38" s="305"/>
      <c r="AC38" s="305"/>
      <c r="AD38" s="307"/>
      <c r="AE38" s="307">
        <v>40036</v>
      </c>
      <c r="AF38" s="278">
        <f t="shared" ca="1" si="3"/>
        <v>2155</v>
      </c>
      <c r="AG38" s="299" t="s">
        <v>48</v>
      </c>
    </row>
    <row r="39" spans="1:33" s="311" customFormat="1" ht="30" customHeight="1" thickBot="1" x14ac:dyDescent="0.25">
      <c r="A39" s="299" t="s">
        <v>193</v>
      </c>
      <c r="B39" s="299" t="s">
        <v>23</v>
      </c>
      <c r="C39" s="299" t="s">
        <v>56</v>
      </c>
      <c r="D39" s="301" t="s">
        <v>194</v>
      </c>
      <c r="E39" s="301" t="s">
        <v>195</v>
      </c>
      <c r="F39" s="299" t="s">
        <v>330</v>
      </c>
      <c r="G39" s="302">
        <v>15600</v>
      </c>
      <c r="H39" s="284">
        <v>1300</v>
      </c>
      <c r="I39" s="284">
        <v>1300</v>
      </c>
      <c r="J39" s="284">
        <v>1300</v>
      </c>
      <c r="K39" s="284">
        <v>1300</v>
      </c>
      <c r="L39" s="284">
        <f>1300+180</f>
        <v>1480</v>
      </c>
      <c r="M39" s="284">
        <v>1300</v>
      </c>
      <c r="N39" s="284">
        <v>1300</v>
      </c>
      <c r="O39" s="284">
        <v>1300</v>
      </c>
      <c r="P39" s="284">
        <v>1300</v>
      </c>
      <c r="Q39" s="284">
        <v>1300</v>
      </c>
      <c r="R39" s="284"/>
      <c r="S39" s="284"/>
      <c r="T39" s="284">
        <f t="shared" si="1"/>
        <v>13180</v>
      </c>
      <c r="U39" s="274">
        <f t="shared" ca="1" si="2"/>
        <v>-3431</v>
      </c>
      <c r="V39" s="303">
        <v>40951</v>
      </c>
      <c r="W39" s="304" t="s">
        <v>780</v>
      </c>
      <c r="X39" s="315" t="s">
        <v>734</v>
      </c>
      <c r="Y39" s="305"/>
      <c r="Z39" s="305"/>
      <c r="AA39" s="305"/>
      <c r="AB39" s="305"/>
      <c r="AC39" s="305"/>
      <c r="AD39" s="306"/>
      <c r="AE39" s="307">
        <v>39125</v>
      </c>
      <c r="AF39" s="278">
        <f t="shared" ca="1" si="3"/>
        <v>3065</v>
      </c>
      <c r="AG39" s="299" t="s">
        <v>48</v>
      </c>
    </row>
    <row r="40" spans="1:33" s="311" customFormat="1" ht="30" customHeight="1" thickBot="1" x14ac:dyDescent="0.25">
      <c r="A40" s="299" t="s">
        <v>801</v>
      </c>
      <c r="B40" s="310" t="s">
        <v>23</v>
      </c>
      <c r="C40" s="299" t="s">
        <v>61</v>
      </c>
      <c r="D40" s="301" t="s">
        <v>176</v>
      </c>
      <c r="E40" s="301" t="s">
        <v>310</v>
      </c>
      <c r="F40" s="299" t="s">
        <v>311</v>
      </c>
      <c r="G40" s="302" t="s">
        <v>802</v>
      </c>
      <c r="H40" s="284">
        <v>0</v>
      </c>
      <c r="I40" s="284">
        <v>0</v>
      </c>
      <c r="J40" s="284">
        <v>0</v>
      </c>
      <c r="K40" s="284">
        <v>0</v>
      </c>
      <c r="L40" s="284">
        <v>0</v>
      </c>
      <c r="M40" s="284">
        <v>1650</v>
      </c>
      <c r="N40" s="284">
        <v>1020</v>
      </c>
      <c r="O40" s="284">
        <v>1050</v>
      </c>
      <c r="P40" s="284">
        <v>1050</v>
      </c>
      <c r="Q40" s="284">
        <v>1010</v>
      </c>
      <c r="R40" s="284"/>
      <c r="S40" s="284"/>
      <c r="T40" s="284">
        <f t="shared" si="1"/>
        <v>5780</v>
      </c>
      <c r="U40" s="274">
        <f t="shared" ca="1" si="2"/>
        <v>-3419</v>
      </c>
      <c r="V40" s="303">
        <v>40963</v>
      </c>
      <c r="W40" s="304" t="s">
        <v>803</v>
      </c>
      <c r="X40" s="315" t="s">
        <v>729</v>
      </c>
      <c r="Y40" s="305"/>
      <c r="Z40" s="305"/>
      <c r="AA40" s="305"/>
      <c r="AB40" s="305"/>
      <c r="AC40" s="305"/>
      <c r="AD40" s="306"/>
      <c r="AE40" s="307">
        <v>40599</v>
      </c>
      <c r="AF40" s="278">
        <f t="shared" ca="1" si="3"/>
        <v>1591</v>
      </c>
      <c r="AG40" s="299" t="s">
        <v>179</v>
      </c>
    </row>
    <row r="41" spans="1:33" s="311" customFormat="1" ht="30" customHeight="1" thickBot="1" x14ac:dyDescent="0.25">
      <c r="A41" s="299" t="s">
        <v>817</v>
      </c>
      <c r="B41" s="299" t="s">
        <v>23</v>
      </c>
      <c r="C41" s="299" t="s">
        <v>56</v>
      </c>
      <c r="D41" s="301" t="s">
        <v>198</v>
      </c>
      <c r="E41" s="301" t="s">
        <v>818</v>
      </c>
      <c r="F41" s="299" t="s">
        <v>338</v>
      </c>
      <c r="G41" s="302">
        <v>2601.12</v>
      </c>
      <c r="H41" s="284">
        <v>0</v>
      </c>
      <c r="I41" s="284">
        <v>0</v>
      </c>
      <c r="J41" s="284">
        <v>465.5</v>
      </c>
      <c r="K41" s="284">
        <f>490+216.76</f>
        <v>706.76</v>
      </c>
      <c r="L41" s="284">
        <v>216.76</v>
      </c>
      <c r="M41" s="284">
        <v>216.76</v>
      </c>
      <c r="N41" s="284">
        <v>216.76</v>
      </c>
      <c r="O41" s="284">
        <f>216.76+510</f>
        <v>726.76</v>
      </c>
      <c r="P41" s="284">
        <v>216.76</v>
      </c>
      <c r="Q41" s="284">
        <v>216.76</v>
      </c>
      <c r="R41" s="284"/>
      <c r="S41" s="284"/>
      <c r="T41" s="284">
        <f t="shared" si="1"/>
        <v>2982.8200000000006</v>
      </c>
      <c r="U41" s="274">
        <f t="shared" ca="1" si="2"/>
        <v>-3415</v>
      </c>
      <c r="V41" s="303">
        <v>40967</v>
      </c>
      <c r="W41" s="304" t="s">
        <v>819</v>
      </c>
      <c r="X41" s="315" t="s">
        <v>735</v>
      </c>
      <c r="Y41" s="305"/>
      <c r="Z41" s="305"/>
      <c r="AA41" s="305"/>
      <c r="AB41" s="305"/>
      <c r="AC41" s="305"/>
      <c r="AD41" s="306"/>
      <c r="AE41" s="307">
        <v>40603</v>
      </c>
      <c r="AF41" s="278">
        <f t="shared" ca="1" si="3"/>
        <v>1587</v>
      </c>
      <c r="AG41" s="299" t="s">
        <v>201</v>
      </c>
    </row>
    <row r="42" spans="1:33" s="311" customFormat="1" ht="30" customHeight="1" thickBot="1" x14ac:dyDescent="0.25">
      <c r="A42" s="299" t="s">
        <v>610</v>
      </c>
      <c r="B42" s="299" t="s">
        <v>23</v>
      </c>
      <c r="C42" s="299" t="s">
        <v>56</v>
      </c>
      <c r="D42" s="301" t="s">
        <v>607</v>
      </c>
      <c r="E42" s="301" t="s">
        <v>608</v>
      </c>
      <c r="F42" s="299" t="s">
        <v>341</v>
      </c>
      <c r="G42" s="302">
        <v>17034.72</v>
      </c>
      <c r="H42" s="284">
        <v>1333.3</v>
      </c>
      <c r="I42" s="284">
        <v>1333.3</v>
      </c>
      <c r="J42" s="284">
        <v>0</v>
      </c>
      <c r="K42" s="284">
        <f>1420.39*2</f>
        <v>2840.78</v>
      </c>
      <c r="L42" s="284">
        <v>1419.58</v>
      </c>
      <c r="M42" s="284">
        <v>1419.58</v>
      </c>
      <c r="N42" s="284">
        <v>1419.58</v>
      </c>
      <c r="O42" s="284">
        <f>1419.58+380.95</f>
        <v>1800.53</v>
      </c>
      <c r="P42" s="284">
        <v>1419.58</v>
      </c>
      <c r="Q42" s="284">
        <v>1419.58</v>
      </c>
      <c r="R42" s="284"/>
      <c r="S42" s="284"/>
      <c r="T42" s="284">
        <f t="shared" si="1"/>
        <v>14405.810000000001</v>
      </c>
      <c r="U42" s="274">
        <f t="shared" ca="1" si="2"/>
        <v>-3405</v>
      </c>
      <c r="V42" s="303">
        <v>40977</v>
      </c>
      <c r="W42" s="304" t="s">
        <v>837</v>
      </c>
      <c r="X42" s="315" t="s">
        <v>736</v>
      </c>
      <c r="Y42" s="305"/>
      <c r="Z42" s="305"/>
      <c r="AA42" s="305"/>
      <c r="AB42" s="305"/>
      <c r="AC42" s="305"/>
      <c r="AD42" s="306"/>
      <c r="AE42" s="307">
        <v>39882</v>
      </c>
      <c r="AF42" s="278">
        <f t="shared" ca="1" si="3"/>
        <v>2309</v>
      </c>
      <c r="AG42" s="299" t="s">
        <v>96</v>
      </c>
    </row>
    <row r="43" spans="1:33" s="311" customFormat="1" ht="30" customHeight="1" thickBot="1" x14ac:dyDescent="0.25">
      <c r="A43" s="299" t="s">
        <v>511</v>
      </c>
      <c r="B43" s="299" t="s">
        <v>23</v>
      </c>
      <c r="C43" s="299" t="s">
        <v>56</v>
      </c>
      <c r="D43" s="301" t="s">
        <v>207</v>
      </c>
      <c r="E43" s="301" t="s">
        <v>208</v>
      </c>
      <c r="F43" s="299" t="s">
        <v>343</v>
      </c>
      <c r="G43" s="302" t="s">
        <v>209</v>
      </c>
      <c r="H43" s="284">
        <v>950</v>
      </c>
      <c r="I43" s="284">
        <v>522.5</v>
      </c>
      <c r="J43" s="284">
        <v>229.5</v>
      </c>
      <c r="K43" s="284">
        <v>583</v>
      </c>
      <c r="L43" s="284">
        <v>475</v>
      </c>
      <c r="M43" s="284">
        <v>745.5</v>
      </c>
      <c r="N43" s="284">
        <v>446</v>
      </c>
      <c r="O43" s="284">
        <v>866</v>
      </c>
      <c r="P43" s="284">
        <v>767</v>
      </c>
      <c r="Q43" s="284">
        <v>819.5</v>
      </c>
      <c r="R43" s="284"/>
      <c r="S43" s="284"/>
      <c r="T43" s="284">
        <f t="shared" si="1"/>
        <v>6404</v>
      </c>
      <c r="U43" s="274">
        <f t="shared" ca="1" si="2"/>
        <v>-3398</v>
      </c>
      <c r="V43" s="303">
        <v>40984</v>
      </c>
      <c r="W43" s="304" t="s">
        <v>800</v>
      </c>
      <c r="X43" s="315" t="s">
        <v>737</v>
      </c>
      <c r="Y43" s="305"/>
      <c r="Z43" s="305"/>
      <c r="AA43" s="305"/>
      <c r="AB43" s="305"/>
      <c r="AC43" s="305"/>
      <c r="AD43" s="306"/>
      <c r="AE43" s="307">
        <v>39889</v>
      </c>
      <c r="AF43" s="278">
        <f t="shared" ca="1" si="3"/>
        <v>2302</v>
      </c>
      <c r="AG43" s="299" t="s">
        <v>48</v>
      </c>
    </row>
    <row r="44" spans="1:33" s="311" customFormat="1" ht="30" customHeight="1" thickBot="1" x14ac:dyDescent="0.25">
      <c r="A44" s="299" t="s">
        <v>894</v>
      </c>
      <c r="B44" s="299" t="s">
        <v>23</v>
      </c>
      <c r="C44" s="299" t="s">
        <v>56</v>
      </c>
      <c r="D44" s="301" t="s">
        <v>895</v>
      </c>
      <c r="E44" s="301" t="s">
        <v>896</v>
      </c>
      <c r="F44" s="299"/>
      <c r="G44" s="302" t="s">
        <v>897</v>
      </c>
      <c r="H44" s="284">
        <v>0</v>
      </c>
      <c r="I44" s="284">
        <v>0</v>
      </c>
      <c r="J44" s="284">
        <v>0</v>
      </c>
      <c r="K44" s="284">
        <v>0</v>
      </c>
      <c r="L44" s="284">
        <v>0</v>
      </c>
      <c r="M44" s="284">
        <v>0</v>
      </c>
      <c r="N44" s="284">
        <v>0</v>
      </c>
      <c r="O44" s="284">
        <v>0</v>
      </c>
      <c r="P44" s="284">
        <v>0</v>
      </c>
      <c r="Q44" s="284">
        <v>1116.96</v>
      </c>
      <c r="R44" s="284"/>
      <c r="S44" s="284"/>
      <c r="T44" s="284">
        <f t="shared" si="1"/>
        <v>1116.96</v>
      </c>
      <c r="U44" s="274">
        <f t="shared" ca="1" si="2"/>
        <v>-3385</v>
      </c>
      <c r="V44" s="303">
        <v>40997</v>
      </c>
      <c r="W44" s="310" t="s">
        <v>898</v>
      </c>
      <c r="X44" s="310" t="s">
        <v>910</v>
      </c>
      <c r="Y44" s="305"/>
      <c r="Z44" s="305"/>
      <c r="AA44" s="305"/>
      <c r="AB44" s="305"/>
      <c r="AC44" s="305"/>
      <c r="AD44" s="306"/>
      <c r="AE44" s="307">
        <v>40816</v>
      </c>
      <c r="AF44" s="278"/>
      <c r="AG44" s="299" t="s">
        <v>48</v>
      </c>
    </row>
    <row r="45" spans="1:33" s="311" customFormat="1" ht="30" customHeight="1" thickBot="1" x14ac:dyDescent="0.25">
      <c r="A45" s="321" t="s">
        <v>845</v>
      </c>
      <c r="B45" s="299" t="s">
        <v>23</v>
      </c>
      <c r="C45" s="299" t="s">
        <v>61</v>
      </c>
      <c r="D45" s="301" t="s">
        <v>333</v>
      </c>
      <c r="E45" s="301" t="s">
        <v>846</v>
      </c>
      <c r="F45" s="299"/>
      <c r="G45" s="302">
        <v>1200</v>
      </c>
      <c r="H45" s="284">
        <v>0</v>
      </c>
      <c r="I45" s="284">
        <v>0</v>
      </c>
      <c r="J45" s="284">
        <v>0</v>
      </c>
      <c r="K45" s="284">
        <v>0</v>
      </c>
      <c r="L45" s="284">
        <v>0</v>
      </c>
      <c r="M45" s="284">
        <v>1200</v>
      </c>
      <c r="N45" s="284">
        <v>0</v>
      </c>
      <c r="O45" s="284">
        <v>0</v>
      </c>
      <c r="P45" s="284">
        <v>0</v>
      </c>
      <c r="Q45" s="284">
        <v>0</v>
      </c>
      <c r="R45" s="284">
        <v>0</v>
      </c>
      <c r="S45" s="284">
        <v>0</v>
      </c>
      <c r="T45" s="284">
        <f t="shared" si="1"/>
        <v>1200</v>
      </c>
      <c r="U45" s="274">
        <f t="shared" ca="1" si="2"/>
        <v>-3370</v>
      </c>
      <c r="V45" s="303">
        <v>41012</v>
      </c>
      <c r="W45" s="304" t="s">
        <v>847</v>
      </c>
      <c r="X45" s="315" t="s">
        <v>863</v>
      </c>
      <c r="Y45" s="305"/>
      <c r="Z45" s="305"/>
      <c r="AA45" s="305"/>
      <c r="AB45" s="305"/>
      <c r="AC45" s="305"/>
      <c r="AD45" s="306"/>
      <c r="AE45" s="307">
        <v>40647</v>
      </c>
      <c r="AF45" s="278">
        <f t="shared" ref="AF45:AF65" ca="1" si="4">TODAY()-DATE(YEAR(AE45)+6,MONTH(AE45),DAY(AE45))</f>
        <v>1543</v>
      </c>
      <c r="AG45" s="299" t="s">
        <v>41</v>
      </c>
    </row>
    <row r="46" spans="1:33" s="311" customFormat="1" ht="30" customHeight="1" thickBot="1" x14ac:dyDescent="0.25">
      <c r="A46" s="321" t="s">
        <v>583</v>
      </c>
      <c r="B46" s="299" t="s">
        <v>23</v>
      </c>
      <c r="C46" s="299" t="s">
        <v>61</v>
      </c>
      <c r="D46" s="301" t="s">
        <v>50</v>
      </c>
      <c r="E46" s="301" t="s">
        <v>51</v>
      </c>
      <c r="F46" s="299" t="s">
        <v>347</v>
      </c>
      <c r="G46" s="302" t="s">
        <v>848</v>
      </c>
      <c r="H46" s="284">
        <v>740</v>
      </c>
      <c r="I46" s="284">
        <v>740</v>
      </c>
      <c r="J46" s="284">
        <v>740</v>
      </c>
      <c r="K46" s="284">
        <f>740+78</f>
        <v>818</v>
      </c>
      <c r="L46" s="284">
        <v>740</v>
      </c>
      <c r="M46" s="284">
        <v>740</v>
      </c>
      <c r="N46" s="284">
        <v>820.66</v>
      </c>
      <c r="O46" s="284">
        <v>820.66</v>
      </c>
      <c r="P46" s="284">
        <v>820.66</v>
      </c>
      <c r="Q46" s="284">
        <v>820.66</v>
      </c>
      <c r="R46" s="284"/>
      <c r="S46" s="284"/>
      <c r="T46" s="284">
        <f t="shared" si="1"/>
        <v>7800.6399999999994</v>
      </c>
      <c r="U46" s="274">
        <f t="shared" ca="1" si="2"/>
        <v>-3361</v>
      </c>
      <c r="V46" s="303">
        <v>41021</v>
      </c>
      <c r="W46" s="304" t="s">
        <v>849</v>
      </c>
      <c r="X46" s="315" t="s">
        <v>738</v>
      </c>
      <c r="Y46" s="305"/>
      <c r="Z46" s="305"/>
      <c r="AA46" s="305"/>
      <c r="AB46" s="305"/>
      <c r="AC46" s="305"/>
      <c r="AD46" s="306"/>
      <c r="AE46" s="307">
        <v>39926</v>
      </c>
      <c r="AF46" s="278">
        <f t="shared" ca="1" si="4"/>
        <v>2265</v>
      </c>
      <c r="AG46" s="299" t="s">
        <v>54</v>
      </c>
    </row>
    <row r="47" spans="1:33" s="311" customFormat="1" ht="30" customHeight="1" thickBot="1" x14ac:dyDescent="0.25">
      <c r="A47" s="299" t="s">
        <v>677</v>
      </c>
      <c r="B47" s="322" t="s">
        <v>678</v>
      </c>
      <c r="C47" s="299" t="s">
        <v>37</v>
      </c>
      <c r="D47" s="301" t="s">
        <v>38</v>
      </c>
      <c r="E47" s="301" t="s">
        <v>679</v>
      </c>
      <c r="F47" s="299" t="s">
        <v>345</v>
      </c>
      <c r="G47" s="302">
        <v>79590</v>
      </c>
      <c r="H47" s="284">
        <v>6632.5</v>
      </c>
      <c r="I47" s="284">
        <v>6632.5</v>
      </c>
      <c r="J47" s="284">
        <v>6632.5</v>
      </c>
      <c r="K47" s="284">
        <v>6632.5</v>
      </c>
      <c r="L47" s="284">
        <v>6632.5</v>
      </c>
      <c r="M47" s="284">
        <v>6632.5</v>
      </c>
      <c r="N47" s="284">
        <v>6632.5</v>
      </c>
      <c r="O47" s="284">
        <v>6632.5</v>
      </c>
      <c r="P47" s="284">
        <v>6632.5</v>
      </c>
      <c r="Q47" s="284">
        <v>6632.5</v>
      </c>
      <c r="R47" s="284">
        <v>6632.5</v>
      </c>
      <c r="S47" s="284"/>
      <c r="T47" s="284">
        <f t="shared" si="1"/>
        <v>72957.5</v>
      </c>
      <c r="U47" s="274">
        <f t="shared" ca="1" si="2"/>
        <v>-3352</v>
      </c>
      <c r="V47" s="303">
        <v>41030</v>
      </c>
      <c r="W47" s="304" t="s">
        <v>844</v>
      </c>
      <c r="X47" s="315" t="s">
        <v>739</v>
      </c>
      <c r="Y47" s="305"/>
      <c r="Z47" s="305"/>
      <c r="AA47" s="305"/>
      <c r="AB47" s="305"/>
      <c r="AC47" s="305"/>
      <c r="AD47" s="306"/>
      <c r="AE47" s="307">
        <v>40318</v>
      </c>
      <c r="AF47" s="278">
        <f t="shared" ca="1" si="4"/>
        <v>1872</v>
      </c>
      <c r="AG47" s="299" t="s">
        <v>41</v>
      </c>
    </row>
    <row r="48" spans="1:33" s="311" customFormat="1" ht="30" customHeight="1" thickBot="1" x14ac:dyDescent="0.25">
      <c r="A48" s="299" t="s">
        <v>682</v>
      </c>
      <c r="B48" s="299" t="s">
        <v>683</v>
      </c>
      <c r="C48" s="299" t="s">
        <v>37</v>
      </c>
      <c r="D48" s="301" t="s">
        <v>684</v>
      </c>
      <c r="E48" s="301" t="s">
        <v>685</v>
      </c>
      <c r="F48" s="299"/>
      <c r="G48" s="302" t="s">
        <v>686</v>
      </c>
      <c r="H48" s="284">
        <v>0</v>
      </c>
      <c r="I48" s="284">
        <v>0</v>
      </c>
      <c r="J48" s="284">
        <v>0</v>
      </c>
      <c r="K48" s="284">
        <v>0</v>
      </c>
      <c r="L48" s="284">
        <v>0</v>
      </c>
      <c r="M48" s="284">
        <v>3410.4</v>
      </c>
      <c r="N48" s="284"/>
      <c r="O48" s="284"/>
      <c r="P48" s="284"/>
      <c r="Q48" s="284"/>
      <c r="R48" s="284"/>
      <c r="S48" s="284"/>
      <c r="T48" s="284">
        <f t="shared" si="1"/>
        <v>3410.4</v>
      </c>
      <c r="U48" s="274">
        <f t="shared" ca="1" si="2"/>
        <v>-3315</v>
      </c>
      <c r="V48" s="303">
        <v>41067</v>
      </c>
      <c r="W48" s="304" t="s">
        <v>854</v>
      </c>
      <c r="X48" s="315" t="s">
        <v>741</v>
      </c>
      <c r="Y48" s="305"/>
      <c r="Z48" s="305"/>
      <c r="AA48" s="305"/>
      <c r="AB48" s="305"/>
      <c r="AC48" s="305"/>
      <c r="AD48" s="306"/>
      <c r="AE48" s="307">
        <v>40336</v>
      </c>
      <c r="AF48" s="278">
        <f t="shared" ca="1" si="4"/>
        <v>1854</v>
      </c>
      <c r="AG48" s="299">
        <v>1</v>
      </c>
    </row>
    <row r="49" spans="1:33" s="311" customFormat="1" ht="30" customHeight="1" thickBot="1" x14ac:dyDescent="0.25">
      <c r="A49" s="299" t="s">
        <v>589</v>
      </c>
      <c r="B49" s="299" t="s">
        <v>590</v>
      </c>
      <c r="C49" s="299" t="s">
        <v>56</v>
      </c>
      <c r="D49" s="301" t="s">
        <v>138</v>
      </c>
      <c r="E49" s="301" t="s">
        <v>591</v>
      </c>
      <c r="F49" s="299"/>
      <c r="G49" s="302" t="s">
        <v>851</v>
      </c>
      <c r="H49" s="284">
        <v>553.67999999999995</v>
      </c>
      <c r="I49" s="284">
        <v>553.67999999999995</v>
      </c>
      <c r="J49" s="284">
        <v>553.67999999999995</v>
      </c>
      <c r="K49" s="284">
        <v>553.67999999999995</v>
      </c>
      <c r="L49" s="284">
        <v>553.67999999999995</v>
      </c>
      <c r="M49" s="284">
        <v>607.75</v>
      </c>
      <c r="N49" s="284">
        <v>607.75</v>
      </c>
      <c r="O49" s="284">
        <v>607.75</v>
      </c>
      <c r="P49" s="284">
        <v>607.75</v>
      </c>
      <c r="Q49" s="284">
        <v>607.75</v>
      </c>
      <c r="R49" s="284"/>
      <c r="S49" s="284"/>
      <c r="T49" s="284">
        <f t="shared" si="1"/>
        <v>5807.15</v>
      </c>
      <c r="U49" s="274">
        <f t="shared" ca="1" si="2"/>
        <v>-3314</v>
      </c>
      <c r="V49" s="303">
        <v>41068</v>
      </c>
      <c r="W49" s="304" t="s">
        <v>852</v>
      </c>
      <c r="X49" s="315" t="s">
        <v>740</v>
      </c>
      <c r="Y49" s="305"/>
      <c r="Z49" s="305"/>
      <c r="AA49" s="305"/>
      <c r="AB49" s="305"/>
      <c r="AC49" s="305"/>
      <c r="AD49" s="306"/>
      <c r="AE49" s="307">
        <v>39973</v>
      </c>
      <c r="AF49" s="278">
        <f t="shared" ca="1" si="4"/>
        <v>2218</v>
      </c>
      <c r="AG49" s="299" t="s">
        <v>48</v>
      </c>
    </row>
    <row r="50" spans="1:33" s="311" customFormat="1" ht="30" customHeight="1" thickBot="1" x14ac:dyDescent="0.25">
      <c r="A50" s="299" t="s">
        <v>579</v>
      </c>
      <c r="B50" s="299" t="s">
        <v>23</v>
      </c>
      <c r="C50" s="299" t="s">
        <v>56</v>
      </c>
      <c r="D50" s="301" t="s">
        <v>580</v>
      </c>
      <c r="E50" s="301" t="s">
        <v>581</v>
      </c>
      <c r="F50" s="299" t="s">
        <v>323</v>
      </c>
      <c r="G50" s="302" t="s">
        <v>864</v>
      </c>
      <c r="H50" s="284">
        <v>170</v>
      </c>
      <c r="I50" s="284">
        <v>170</v>
      </c>
      <c r="J50" s="284">
        <v>170</v>
      </c>
      <c r="K50" s="284">
        <v>170</v>
      </c>
      <c r="L50" s="284">
        <v>170</v>
      </c>
      <c r="M50" s="284">
        <v>170</v>
      </c>
      <c r="N50" s="284">
        <v>180.95</v>
      </c>
      <c r="O50" s="284">
        <v>180.95</v>
      </c>
      <c r="P50" s="284">
        <v>180.95</v>
      </c>
      <c r="Q50" s="284">
        <v>180.95</v>
      </c>
      <c r="R50" s="284"/>
      <c r="S50" s="284"/>
      <c r="T50" s="284">
        <f t="shared" si="1"/>
        <v>1743.8000000000002</v>
      </c>
      <c r="U50" s="274">
        <f t="shared" ca="1" si="2"/>
        <v>-3308</v>
      </c>
      <c r="V50" s="303">
        <v>41074</v>
      </c>
      <c r="W50" s="304" t="s">
        <v>865</v>
      </c>
      <c r="X50" s="315" t="s">
        <v>742</v>
      </c>
      <c r="Y50" s="305"/>
      <c r="Z50" s="305"/>
      <c r="AA50" s="305"/>
      <c r="AB50" s="305"/>
      <c r="AC50" s="305"/>
      <c r="AD50" s="306"/>
      <c r="AE50" s="307">
        <v>39979</v>
      </c>
      <c r="AF50" s="278">
        <f t="shared" ca="1" si="4"/>
        <v>2212</v>
      </c>
      <c r="AG50" s="299" t="s">
        <v>48</v>
      </c>
    </row>
    <row r="51" spans="1:33" s="311" customFormat="1" ht="30" customHeight="1" thickBot="1" x14ac:dyDescent="0.25">
      <c r="A51" s="299" t="s">
        <v>360</v>
      </c>
      <c r="B51" s="299" t="s">
        <v>23</v>
      </c>
      <c r="C51" s="299" t="s">
        <v>61</v>
      </c>
      <c r="D51" s="301" t="s">
        <v>212</v>
      </c>
      <c r="E51" s="301" t="s">
        <v>361</v>
      </c>
      <c r="F51" s="299"/>
      <c r="G51" s="302">
        <v>7040.16</v>
      </c>
      <c r="H51" s="284">
        <v>534.49</v>
      </c>
      <c r="I51" s="284">
        <v>534.49</v>
      </c>
      <c r="J51" s="284">
        <v>534.49</v>
      </c>
      <c r="K51" s="284">
        <v>534.49</v>
      </c>
      <c r="L51" s="284">
        <v>534.49</v>
      </c>
      <c r="M51" s="284">
        <v>534.49</v>
      </c>
      <c r="N51" s="284">
        <v>586.67999999999995</v>
      </c>
      <c r="O51" s="284">
        <v>586.67999999999995</v>
      </c>
      <c r="P51" s="284">
        <v>586.67999999999995</v>
      </c>
      <c r="Q51" s="284">
        <v>586.67999999999995</v>
      </c>
      <c r="R51" s="284"/>
      <c r="S51" s="284"/>
      <c r="T51" s="284">
        <f t="shared" si="1"/>
        <v>5553.66</v>
      </c>
      <c r="U51" s="274">
        <f t="shared" ca="1" si="2"/>
        <v>-3304</v>
      </c>
      <c r="V51" s="303">
        <v>41078</v>
      </c>
      <c r="W51" s="304" t="s">
        <v>853</v>
      </c>
      <c r="X51" s="315" t="s">
        <v>726</v>
      </c>
      <c r="Y51" s="305"/>
      <c r="Z51" s="305"/>
      <c r="AA51" s="305"/>
      <c r="AB51" s="305"/>
      <c r="AC51" s="305"/>
      <c r="AD51" s="306"/>
      <c r="AE51" s="307">
        <v>39617</v>
      </c>
      <c r="AF51" s="278">
        <f t="shared" ca="1" si="4"/>
        <v>2574</v>
      </c>
      <c r="AG51" s="299" t="s">
        <v>48</v>
      </c>
    </row>
    <row r="52" spans="1:33" s="311" customFormat="1" ht="30" customHeight="1" thickBot="1" x14ac:dyDescent="0.25">
      <c r="A52" s="299" t="s">
        <v>356</v>
      </c>
      <c r="B52" s="299" t="s">
        <v>23</v>
      </c>
      <c r="C52" s="299" t="s">
        <v>61</v>
      </c>
      <c r="D52" s="301" t="s">
        <v>62</v>
      </c>
      <c r="E52" s="301" t="s">
        <v>357</v>
      </c>
      <c r="F52" s="299" t="s">
        <v>358</v>
      </c>
      <c r="G52" s="302">
        <v>8004.24</v>
      </c>
      <c r="H52" s="284">
        <v>667.02</v>
      </c>
      <c r="I52" s="284">
        <v>667.02</v>
      </c>
      <c r="J52" s="284">
        <v>667.02</v>
      </c>
      <c r="K52" s="284">
        <v>667.02</v>
      </c>
      <c r="L52" s="284">
        <v>667.02</v>
      </c>
      <c r="M52" s="284">
        <f>667.02+450</f>
        <v>1117.02</v>
      </c>
      <c r="N52" s="284">
        <v>667.02</v>
      </c>
      <c r="O52" s="284">
        <v>667.02</v>
      </c>
      <c r="P52" s="284">
        <v>667.02</v>
      </c>
      <c r="Q52" s="284">
        <v>667.02</v>
      </c>
      <c r="R52" s="284"/>
      <c r="S52" s="284"/>
      <c r="T52" s="284">
        <f t="shared" si="1"/>
        <v>7120.2000000000007</v>
      </c>
      <c r="U52" s="274">
        <f t="shared" ca="1" si="2"/>
        <v>-3302</v>
      </c>
      <c r="V52" s="303">
        <v>41080</v>
      </c>
      <c r="W52" s="304" t="s">
        <v>853</v>
      </c>
      <c r="X52" s="315" t="s">
        <v>743</v>
      </c>
      <c r="Y52" s="305"/>
      <c r="Z52" s="305"/>
      <c r="AA52" s="305"/>
      <c r="AB52" s="305"/>
      <c r="AC52" s="305"/>
      <c r="AD52" s="306"/>
      <c r="AE52" s="307">
        <v>39619</v>
      </c>
      <c r="AF52" s="278">
        <f t="shared" ca="1" si="4"/>
        <v>2572</v>
      </c>
      <c r="AG52" s="299" t="s">
        <v>48</v>
      </c>
    </row>
    <row r="53" spans="1:33" s="311" customFormat="1" ht="30" customHeight="1" thickBot="1" x14ac:dyDescent="0.25">
      <c r="A53" s="299" t="s">
        <v>363</v>
      </c>
      <c r="B53" s="300" t="s">
        <v>364</v>
      </c>
      <c r="C53" s="299" t="s">
        <v>37</v>
      </c>
      <c r="D53" s="301" t="s">
        <v>365</v>
      </c>
      <c r="E53" s="301" t="s">
        <v>366</v>
      </c>
      <c r="F53" s="299" t="s">
        <v>367</v>
      </c>
      <c r="G53" s="302">
        <v>27203.040000000001</v>
      </c>
      <c r="H53" s="284">
        <v>2122.67</v>
      </c>
      <c r="I53" s="284">
        <v>0</v>
      </c>
      <c r="J53" s="284">
        <f>2122.67*2</f>
        <v>4245.34</v>
      </c>
      <c r="K53" s="284">
        <v>2122.67</v>
      </c>
      <c r="L53" s="284">
        <v>2122.67</v>
      </c>
      <c r="M53" s="284">
        <v>2122.67</v>
      </c>
      <c r="N53" s="284">
        <v>2122.67</v>
      </c>
      <c r="O53" s="284">
        <v>2266.92</v>
      </c>
      <c r="P53" s="284">
        <v>2266.92</v>
      </c>
      <c r="Q53" s="284">
        <v>2266.92</v>
      </c>
      <c r="R53" s="284"/>
      <c r="S53" s="284"/>
      <c r="T53" s="284">
        <f t="shared" si="1"/>
        <v>21659.449999999997</v>
      </c>
      <c r="U53" s="274">
        <f t="shared" ca="1" si="2"/>
        <v>-3268</v>
      </c>
      <c r="V53" s="303">
        <v>41114</v>
      </c>
      <c r="W53" s="304" t="s">
        <v>866</v>
      </c>
      <c r="X53" s="315" t="s">
        <v>744</v>
      </c>
      <c r="Y53" s="305"/>
      <c r="Z53" s="305"/>
      <c r="AA53" s="305"/>
      <c r="AB53" s="305"/>
      <c r="AC53" s="305"/>
      <c r="AD53" s="306"/>
      <c r="AE53" s="307">
        <v>39288</v>
      </c>
      <c r="AF53" s="278">
        <f t="shared" ca="1" si="4"/>
        <v>2902</v>
      </c>
      <c r="AG53" s="299" t="s">
        <v>96</v>
      </c>
    </row>
    <row r="54" spans="1:33" s="311" customFormat="1" ht="30" customHeight="1" thickBot="1" x14ac:dyDescent="0.25">
      <c r="A54" s="299" t="s">
        <v>584</v>
      </c>
      <c r="B54" s="300" t="s">
        <v>585</v>
      </c>
      <c r="C54" s="299" t="s">
        <v>613</v>
      </c>
      <c r="D54" s="301" t="s">
        <v>586</v>
      </c>
      <c r="E54" s="301" t="s">
        <v>587</v>
      </c>
      <c r="F54" s="299"/>
      <c r="G54" s="302" t="s">
        <v>925</v>
      </c>
      <c r="H54" s="284">
        <v>69136.63</v>
      </c>
      <c r="I54" s="284">
        <v>64873.93</v>
      </c>
      <c r="J54" s="284">
        <v>66548.95</v>
      </c>
      <c r="K54" s="284">
        <v>68205.820000000007</v>
      </c>
      <c r="L54" s="284">
        <v>68763.34</v>
      </c>
      <c r="M54" s="284">
        <v>74021.740000000005</v>
      </c>
      <c r="N54" s="284">
        <v>74283.58</v>
      </c>
      <c r="O54" s="284">
        <v>75219.58</v>
      </c>
      <c r="P54" s="284">
        <v>78771.839999999997</v>
      </c>
      <c r="Q54" s="284">
        <v>76064.94</v>
      </c>
      <c r="R54" s="284"/>
      <c r="S54" s="284"/>
      <c r="T54" s="284">
        <f t="shared" si="1"/>
        <v>715890.35000000009</v>
      </c>
      <c r="U54" s="274">
        <f t="shared" ca="1" si="2"/>
        <v>-3250</v>
      </c>
      <c r="V54" s="303">
        <v>41132</v>
      </c>
      <c r="W54" s="304" t="s">
        <v>924</v>
      </c>
      <c r="X54" s="315" t="s">
        <v>733</v>
      </c>
      <c r="Y54" s="305"/>
      <c r="Z54" s="305"/>
      <c r="AA54" s="305"/>
      <c r="AB54" s="305"/>
      <c r="AC54" s="305"/>
      <c r="AD54" s="306"/>
      <c r="AE54" s="307">
        <v>40037</v>
      </c>
      <c r="AF54" s="278">
        <f t="shared" ca="1" si="4"/>
        <v>2154</v>
      </c>
      <c r="AG54" s="299" t="s">
        <v>96</v>
      </c>
    </row>
    <row r="55" spans="1:33" s="311" customFormat="1" ht="30" customHeight="1" thickBot="1" x14ac:dyDescent="0.25">
      <c r="A55" s="299" t="s">
        <v>412</v>
      </c>
      <c r="B55" s="299" t="s">
        <v>413</v>
      </c>
      <c r="C55" s="299" t="s">
        <v>613</v>
      </c>
      <c r="D55" s="301" t="s">
        <v>414</v>
      </c>
      <c r="E55" s="301" t="s">
        <v>415</v>
      </c>
      <c r="F55" s="299"/>
      <c r="G55" s="302">
        <v>90271.1</v>
      </c>
      <c r="H55" s="284"/>
      <c r="I55" s="284"/>
      <c r="J55" s="284"/>
      <c r="K55" s="284"/>
      <c r="L55" s="284"/>
      <c r="M55" s="284"/>
      <c r="N55" s="284"/>
      <c r="O55" s="284"/>
      <c r="P55" s="284"/>
      <c r="Q55" s="284"/>
      <c r="R55" s="284"/>
      <c r="S55" s="284"/>
      <c r="T55" s="284">
        <f t="shared" si="1"/>
        <v>0</v>
      </c>
      <c r="U55" s="274">
        <f t="shared" ca="1" si="2"/>
        <v>-3241</v>
      </c>
      <c r="V55" s="303">
        <v>41141</v>
      </c>
      <c r="W55" s="304" t="s">
        <v>771</v>
      </c>
      <c r="X55" s="315" t="s">
        <v>756</v>
      </c>
      <c r="Y55" s="305"/>
      <c r="Z55" s="305"/>
      <c r="AA55" s="305"/>
      <c r="AB55" s="305"/>
      <c r="AC55" s="305"/>
      <c r="AD55" s="306"/>
      <c r="AE55" s="307">
        <v>39680</v>
      </c>
      <c r="AF55" s="278">
        <f t="shared" ca="1" si="4"/>
        <v>2511</v>
      </c>
      <c r="AG55" s="299" t="s">
        <v>41</v>
      </c>
    </row>
    <row r="56" spans="1:33" s="311" customFormat="1" ht="30" customHeight="1" thickBot="1" x14ac:dyDescent="0.25">
      <c r="A56" s="299" t="s">
        <v>872</v>
      </c>
      <c r="B56" s="299" t="s">
        <v>23</v>
      </c>
      <c r="C56" s="299" t="s">
        <v>24</v>
      </c>
      <c r="D56" s="301" t="s">
        <v>873</v>
      </c>
      <c r="E56" s="301" t="s">
        <v>874</v>
      </c>
      <c r="F56" s="305"/>
      <c r="G56" s="302" t="s">
        <v>875</v>
      </c>
      <c r="H56" s="284"/>
      <c r="I56" s="284"/>
      <c r="J56" s="284"/>
      <c r="K56" s="284"/>
      <c r="L56" s="284"/>
      <c r="M56" s="284"/>
      <c r="N56" s="284"/>
      <c r="O56" s="284"/>
      <c r="P56" s="284"/>
      <c r="Q56" s="284"/>
      <c r="R56" s="284"/>
      <c r="S56" s="284"/>
      <c r="T56" s="284">
        <f t="shared" si="1"/>
        <v>0</v>
      </c>
      <c r="U56" s="274">
        <f t="shared" ca="1" si="2"/>
        <v>-3236</v>
      </c>
      <c r="V56" s="303">
        <v>41146</v>
      </c>
      <c r="W56" s="317" t="s">
        <v>876</v>
      </c>
      <c r="X56" s="318" t="s">
        <v>840</v>
      </c>
      <c r="Y56" s="305"/>
      <c r="Z56" s="305"/>
      <c r="AA56" s="305"/>
      <c r="AB56" s="305"/>
      <c r="AC56" s="305"/>
      <c r="AD56" s="307"/>
      <c r="AE56" s="307">
        <v>40781</v>
      </c>
      <c r="AF56" s="278">
        <f t="shared" ca="1" si="4"/>
        <v>1409</v>
      </c>
      <c r="AG56" s="299" t="s">
        <v>34</v>
      </c>
    </row>
    <row r="57" spans="1:33" s="311" customFormat="1" ht="30" customHeight="1" thickBot="1" x14ac:dyDescent="0.25">
      <c r="A57" s="299" t="s">
        <v>616</v>
      </c>
      <c r="B57" s="299" t="s">
        <v>600</v>
      </c>
      <c r="C57" s="299" t="s">
        <v>617</v>
      </c>
      <c r="D57" s="301" t="s">
        <v>618</v>
      </c>
      <c r="E57" s="301" t="s">
        <v>654</v>
      </c>
      <c r="F57" s="299"/>
      <c r="G57" s="302" t="s">
        <v>655</v>
      </c>
      <c r="H57" s="284">
        <v>1325</v>
      </c>
      <c r="I57" s="284">
        <v>1325</v>
      </c>
      <c r="J57" s="284">
        <v>1325</v>
      </c>
      <c r="K57" s="284">
        <v>1325</v>
      </c>
      <c r="L57" s="284">
        <v>1844.79</v>
      </c>
      <c r="M57" s="284">
        <v>1325</v>
      </c>
      <c r="N57" s="284">
        <v>1403</v>
      </c>
      <c r="O57" s="284">
        <v>1996.38</v>
      </c>
      <c r="P57" s="284">
        <v>1996.38</v>
      </c>
      <c r="Q57" s="284">
        <v>1996.38</v>
      </c>
      <c r="R57" s="284"/>
      <c r="S57" s="284"/>
      <c r="T57" s="284">
        <f t="shared" si="1"/>
        <v>15861.930000000004</v>
      </c>
      <c r="U57" s="274">
        <f t="shared" ca="1" si="2"/>
        <v>-3191</v>
      </c>
      <c r="V57" s="309">
        <v>41191</v>
      </c>
      <c r="W57" s="304" t="s">
        <v>914</v>
      </c>
      <c r="X57" s="315" t="s">
        <v>748</v>
      </c>
      <c r="Y57" s="305"/>
      <c r="Z57" s="305"/>
      <c r="AA57" s="305"/>
      <c r="AB57" s="305"/>
      <c r="AC57" s="305"/>
      <c r="AD57" s="306"/>
      <c r="AE57" s="307">
        <v>40095</v>
      </c>
      <c r="AF57" s="278">
        <f t="shared" ca="1" si="4"/>
        <v>2096</v>
      </c>
      <c r="AG57" s="299" t="s">
        <v>48</v>
      </c>
    </row>
    <row r="58" spans="1:33" s="311" customFormat="1" ht="30" customHeight="1" thickBot="1" x14ac:dyDescent="0.25">
      <c r="A58" s="299" t="s">
        <v>215</v>
      </c>
      <c r="B58" s="299" t="s">
        <v>23</v>
      </c>
      <c r="C58" s="299" t="s">
        <v>24</v>
      </c>
      <c r="D58" s="301" t="s">
        <v>216</v>
      </c>
      <c r="E58" s="301" t="s">
        <v>217</v>
      </c>
      <c r="F58" s="299"/>
      <c r="G58" s="302" t="s">
        <v>375</v>
      </c>
      <c r="H58" s="284">
        <v>0</v>
      </c>
      <c r="I58" s="284">
        <v>0</v>
      </c>
      <c r="J58" s="284">
        <v>0</v>
      </c>
      <c r="K58" s="284">
        <v>0</v>
      </c>
      <c r="L58" s="284">
        <v>0</v>
      </c>
      <c r="M58" s="284">
        <v>0</v>
      </c>
      <c r="N58" s="284">
        <v>0</v>
      </c>
      <c r="O58" s="284">
        <v>0</v>
      </c>
      <c r="P58" s="284">
        <v>1456</v>
      </c>
      <c r="Q58" s="284">
        <v>0</v>
      </c>
      <c r="R58" s="284"/>
      <c r="S58" s="284"/>
      <c r="T58" s="284">
        <f t="shared" si="1"/>
        <v>1456</v>
      </c>
      <c r="U58" s="274">
        <f t="shared" ca="1" si="2"/>
        <v>-3184</v>
      </c>
      <c r="V58" s="303">
        <v>41198</v>
      </c>
      <c r="W58" s="304" t="s">
        <v>561</v>
      </c>
      <c r="X58" s="315" t="s">
        <v>757</v>
      </c>
      <c r="Y58" s="305"/>
      <c r="Z58" s="305"/>
      <c r="AA58" s="305"/>
      <c r="AB58" s="305"/>
      <c r="AC58" s="305"/>
      <c r="AD58" s="306"/>
      <c r="AE58" s="307">
        <v>39737</v>
      </c>
      <c r="AF58" s="278">
        <f t="shared" ca="1" si="4"/>
        <v>2454</v>
      </c>
      <c r="AG58" s="299" t="s">
        <v>169</v>
      </c>
    </row>
    <row r="59" spans="1:33" s="311" customFormat="1" ht="30" customHeight="1" thickBot="1" x14ac:dyDescent="0.25">
      <c r="A59" s="299" t="s">
        <v>711</v>
      </c>
      <c r="B59" s="299" t="s">
        <v>23</v>
      </c>
      <c r="C59" s="299" t="s">
        <v>61</v>
      </c>
      <c r="D59" s="301" t="s">
        <v>98</v>
      </c>
      <c r="E59" s="301" t="s">
        <v>712</v>
      </c>
      <c r="F59" s="299" t="s">
        <v>255</v>
      </c>
      <c r="G59" s="302" t="s">
        <v>713</v>
      </c>
      <c r="H59" s="284">
        <v>461.8</v>
      </c>
      <c r="I59" s="284">
        <v>788.95</v>
      </c>
      <c r="J59" s="284">
        <v>355.9</v>
      </c>
      <c r="K59" s="284">
        <v>137.5</v>
      </c>
      <c r="L59" s="284">
        <v>431.5</v>
      </c>
      <c r="M59" s="284">
        <v>550.04</v>
      </c>
      <c r="N59" s="284">
        <v>183.7</v>
      </c>
      <c r="O59" s="284">
        <v>333.9</v>
      </c>
      <c r="P59" s="284">
        <v>108.8</v>
      </c>
      <c r="Q59" s="284">
        <v>1150.3499999999999</v>
      </c>
      <c r="R59" s="284">
        <v>166.4</v>
      </c>
      <c r="S59" s="284"/>
      <c r="T59" s="284">
        <f t="shared" si="1"/>
        <v>4668.84</v>
      </c>
      <c r="U59" s="274">
        <f t="shared" ca="1" si="2"/>
        <v>-3178</v>
      </c>
      <c r="V59" s="303">
        <v>41204</v>
      </c>
      <c r="W59" s="304" t="s">
        <v>913</v>
      </c>
      <c r="X59" s="315" t="s">
        <v>749</v>
      </c>
      <c r="Y59" s="305"/>
      <c r="Z59" s="305"/>
      <c r="AA59" s="305"/>
      <c r="AB59" s="305"/>
      <c r="AC59" s="305"/>
      <c r="AD59" s="306"/>
      <c r="AE59" s="307">
        <v>40473</v>
      </c>
      <c r="AF59" s="278">
        <f t="shared" ca="1" si="4"/>
        <v>1717</v>
      </c>
      <c r="AG59" s="299" t="s">
        <v>48</v>
      </c>
    </row>
    <row r="60" spans="1:33" s="311" customFormat="1" ht="30" customHeight="1" thickBot="1" x14ac:dyDescent="0.25">
      <c r="A60" s="299" t="s">
        <v>115</v>
      </c>
      <c r="B60" s="299" t="s">
        <v>23</v>
      </c>
      <c r="C60" s="299" t="s">
        <v>56</v>
      </c>
      <c r="D60" s="301" t="s">
        <v>116</v>
      </c>
      <c r="E60" s="301" t="s">
        <v>117</v>
      </c>
      <c r="F60" s="299" t="s">
        <v>266</v>
      </c>
      <c r="G60" s="323">
        <v>5924.8</v>
      </c>
      <c r="H60" s="284">
        <v>422.4</v>
      </c>
      <c r="I60" s="284">
        <v>424.8</v>
      </c>
      <c r="J60" s="284">
        <v>414</v>
      </c>
      <c r="K60" s="284">
        <v>448.2</v>
      </c>
      <c r="L60" s="284">
        <v>538.20000000000005</v>
      </c>
      <c r="M60" s="284">
        <v>651.6</v>
      </c>
      <c r="N60" s="284">
        <v>518.4</v>
      </c>
      <c r="O60" s="284">
        <v>524.4</v>
      </c>
      <c r="P60" s="284">
        <v>524.4</v>
      </c>
      <c r="Q60" s="284">
        <v>528.6</v>
      </c>
      <c r="R60" s="284"/>
      <c r="S60" s="284"/>
      <c r="T60" s="284">
        <f t="shared" si="1"/>
        <v>4995.0000000000009</v>
      </c>
      <c r="U60" s="274">
        <f t="shared" ca="1" si="2"/>
        <v>-3176</v>
      </c>
      <c r="V60" s="309">
        <v>41206</v>
      </c>
      <c r="W60" s="304" t="s">
        <v>912</v>
      </c>
      <c r="X60" s="315" t="s">
        <v>750</v>
      </c>
      <c r="Y60" s="305"/>
      <c r="Z60" s="305"/>
      <c r="AA60" s="305"/>
      <c r="AB60" s="305"/>
      <c r="AC60" s="305"/>
      <c r="AD60" s="306"/>
      <c r="AE60" s="307">
        <v>39015</v>
      </c>
      <c r="AF60" s="278">
        <f t="shared" ca="1" si="4"/>
        <v>3175</v>
      </c>
      <c r="AG60" s="299" t="s">
        <v>96</v>
      </c>
    </row>
    <row r="61" spans="1:33" s="311" customFormat="1" ht="30" customHeight="1" thickBot="1" x14ac:dyDescent="0.25">
      <c r="A61" s="299" t="s">
        <v>915</v>
      </c>
      <c r="B61" s="299"/>
      <c r="C61" s="299"/>
      <c r="D61" s="301" t="s">
        <v>916</v>
      </c>
      <c r="E61" s="301" t="s">
        <v>917</v>
      </c>
      <c r="F61" s="299"/>
      <c r="G61" s="302">
        <v>6500</v>
      </c>
      <c r="H61" s="284"/>
      <c r="I61" s="284"/>
      <c r="J61" s="284"/>
      <c r="K61" s="284"/>
      <c r="L61" s="284"/>
      <c r="M61" s="284"/>
      <c r="N61" s="284"/>
      <c r="O61" s="284"/>
      <c r="P61" s="284"/>
      <c r="Q61" s="284"/>
      <c r="R61" s="284"/>
      <c r="S61" s="284"/>
      <c r="T61" s="284"/>
      <c r="U61" s="274">
        <f t="shared" ca="1" si="2"/>
        <v>-3175</v>
      </c>
      <c r="V61" s="309">
        <v>41207</v>
      </c>
      <c r="W61" s="304" t="s">
        <v>918</v>
      </c>
      <c r="X61" s="315"/>
      <c r="Y61" s="305"/>
      <c r="Z61" s="305"/>
      <c r="AA61" s="305"/>
      <c r="AB61" s="305"/>
      <c r="AC61" s="305"/>
      <c r="AD61" s="306"/>
      <c r="AE61" s="307">
        <v>40842</v>
      </c>
      <c r="AF61" s="278">
        <f t="shared" ca="1" si="4"/>
        <v>1348</v>
      </c>
      <c r="AG61" s="299" t="s">
        <v>649</v>
      </c>
    </row>
    <row r="62" spans="1:33" s="311" customFormat="1" ht="30" customHeight="1" thickBot="1" x14ac:dyDescent="0.25">
      <c r="A62" s="299" t="s">
        <v>397</v>
      </c>
      <c r="B62" s="299" t="s">
        <v>398</v>
      </c>
      <c r="C62" s="299" t="s">
        <v>613</v>
      </c>
      <c r="D62" s="301" t="s">
        <v>399</v>
      </c>
      <c r="E62" s="301" t="s">
        <v>400</v>
      </c>
      <c r="F62" s="299"/>
      <c r="G62" s="302" t="s">
        <v>919</v>
      </c>
      <c r="H62" s="284">
        <v>6976.24</v>
      </c>
      <c r="I62" s="284">
        <v>7827.22</v>
      </c>
      <c r="J62" s="284">
        <v>7605.73</v>
      </c>
      <c r="K62" s="284">
        <v>8483.77</v>
      </c>
      <c r="L62" s="284">
        <v>7224.11</v>
      </c>
      <c r="M62" s="284">
        <v>6971.95</v>
      </c>
      <c r="N62" s="284">
        <v>6232.3</v>
      </c>
      <c r="O62" s="284">
        <v>8066.54</v>
      </c>
      <c r="P62" s="284">
        <v>8059.15</v>
      </c>
      <c r="Q62" s="284">
        <v>6703.94</v>
      </c>
      <c r="R62" s="284">
        <v>5766.65</v>
      </c>
      <c r="S62" s="284"/>
      <c r="T62" s="284">
        <f>SUM(H62:S62)</f>
        <v>79917.599999999991</v>
      </c>
      <c r="U62" s="274">
        <f t="shared" ca="1" si="2"/>
        <v>-3167</v>
      </c>
      <c r="V62" s="303">
        <v>41215</v>
      </c>
      <c r="W62" s="304" t="s">
        <v>920</v>
      </c>
      <c r="X62" s="315" t="s">
        <v>752</v>
      </c>
      <c r="Y62" s="305"/>
      <c r="Z62" s="305"/>
      <c r="AA62" s="305"/>
      <c r="AB62" s="305"/>
      <c r="AC62" s="305"/>
      <c r="AD62" s="306"/>
      <c r="AE62" s="307">
        <v>39755</v>
      </c>
      <c r="AF62" s="278">
        <f t="shared" ca="1" si="4"/>
        <v>2436</v>
      </c>
      <c r="AG62" s="299" t="s">
        <v>48</v>
      </c>
    </row>
    <row r="63" spans="1:33" s="311" customFormat="1" ht="30" customHeight="1" thickBot="1" x14ac:dyDescent="0.25">
      <c r="A63" s="299" t="s">
        <v>786</v>
      </c>
      <c r="B63" s="300" t="s">
        <v>23</v>
      </c>
      <c r="C63" s="299" t="s">
        <v>372</v>
      </c>
      <c r="D63" s="301" t="s">
        <v>787</v>
      </c>
      <c r="E63" s="301" t="s">
        <v>791</v>
      </c>
      <c r="F63" s="299"/>
      <c r="G63" s="302" t="s">
        <v>375</v>
      </c>
      <c r="H63" s="284">
        <v>0</v>
      </c>
      <c r="I63" s="284">
        <v>0</v>
      </c>
      <c r="J63" s="284">
        <v>0</v>
      </c>
      <c r="K63" s="284">
        <v>0</v>
      </c>
      <c r="L63" s="284">
        <v>0</v>
      </c>
      <c r="M63" s="284">
        <v>0</v>
      </c>
      <c r="N63" s="284">
        <v>0</v>
      </c>
      <c r="O63" s="284">
        <v>0</v>
      </c>
      <c r="P63" s="284">
        <v>0</v>
      </c>
      <c r="Q63" s="284">
        <v>0</v>
      </c>
      <c r="R63" s="284">
        <v>0</v>
      </c>
      <c r="S63" s="284">
        <v>0</v>
      </c>
      <c r="T63" s="284">
        <f>SUM(H63:S63)</f>
        <v>0</v>
      </c>
      <c r="U63" s="274">
        <f t="shared" ca="1" si="2"/>
        <v>-3154</v>
      </c>
      <c r="V63" s="309">
        <v>41228</v>
      </c>
      <c r="W63" s="304" t="s">
        <v>788</v>
      </c>
      <c r="X63" s="310" t="s">
        <v>838</v>
      </c>
      <c r="Y63" s="305"/>
      <c r="Z63" s="305"/>
      <c r="AA63" s="305"/>
      <c r="AB63" s="305"/>
      <c r="AC63" s="305"/>
      <c r="AD63" s="306"/>
      <c r="AE63" s="307">
        <v>40498</v>
      </c>
      <c r="AF63" s="278">
        <f t="shared" ca="1" si="4"/>
        <v>1692</v>
      </c>
      <c r="AG63" s="299" t="s">
        <v>96</v>
      </c>
    </row>
    <row r="64" spans="1:33" s="311" customFormat="1" ht="30" customHeight="1" thickBot="1" x14ac:dyDescent="0.25">
      <c r="A64" s="299" t="s">
        <v>628</v>
      </c>
      <c r="B64" s="299" t="s">
        <v>585</v>
      </c>
      <c r="C64" s="299" t="s">
        <v>617</v>
      </c>
      <c r="D64" s="312" t="s">
        <v>44</v>
      </c>
      <c r="E64" s="337" t="s">
        <v>932</v>
      </c>
      <c r="F64" s="299"/>
      <c r="G64" s="313">
        <v>40083.480000000003</v>
      </c>
      <c r="H64" s="314">
        <v>3131.7</v>
      </c>
      <c r="I64" s="314">
        <v>3131.7</v>
      </c>
      <c r="J64" s="314">
        <v>3131.7</v>
      </c>
      <c r="K64" s="314">
        <v>3131.7</v>
      </c>
      <c r="L64" s="314">
        <v>3131.7</v>
      </c>
      <c r="M64" s="314">
        <v>3131.7</v>
      </c>
      <c r="N64" s="314">
        <v>3131.7</v>
      </c>
      <c r="O64" s="314">
        <v>3131.7</v>
      </c>
      <c r="P64" s="314">
        <v>3131.7</v>
      </c>
      <c r="Q64" s="314">
        <v>3131.7</v>
      </c>
      <c r="R64" s="314"/>
      <c r="S64" s="314"/>
      <c r="T64" s="284">
        <f>SUM(H64:S64)</f>
        <v>31317.000000000004</v>
      </c>
      <c r="U64" s="274">
        <f t="shared" ca="1" si="2"/>
        <v>-3139</v>
      </c>
      <c r="V64" s="303">
        <v>41243</v>
      </c>
      <c r="W64" s="326" t="s">
        <v>931</v>
      </c>
      <c r="X64" s="315" t="s">
        <v>746</v>
      </c>
      <c r="Y64" s="305"/>
      <c r="Z64" s="305"/>
      <c r="AA64" s="305"/>
      <c r="AB64" s="305"/>
      <c r="AC64" s="305"/>
      <c r="AD64" s="303"/>
      <c r="AE64" s="316">
        <v>40147</v>
      </c>
      <c r="AF64" s="278">
        <f t="shared" ca="1" si="4"/>
        <v>2044</v>
      </c>
      <c r="AG64" s="299" t="s">
        <v>48</v>
      </c>
    </row>
    <row r="65" spans="1:38" s="311" customFormat="1" ht="30" customHeight="1" thickBot="1" x14ac:dyDescent="0.25">
      <c r="A65" s="299" t="s">
        <v>688</v>
      </c>
      <c r="B65" s="299" t="s">
        <v>689</v>
      </c>
      <c r="C65" s="299" t="s">
        <v>613</v>
      </c>
      <c r="D65" s="301" t="s">
        <v>690</v>
      </c>
      <c r="E65" s="301" t="s">
        <v>691</v>
      </c>
      <c r="F65" s="299"/>
      <c r="G65" s="302">
        <v>24600</v>
      </c>
      <c r="H65" s="284"/>
      <c r="I65" s="284"/>
      <c r="J65" s="284"/>
      <c r="K65" s="284"/>
      <c r="L65" s="284"/>
      <c r="M65" s="284"/>
      <c r="N65" s="284"/>
      <c r="O65" s="284"/>
      <c r="P65" s="284"/>
      <c r="Q65" s="284"/>
      <c r="R65" s="284"/>
      <c r="S65" s="284"/>
      <c r="T65" s="284">
        <f>SUM(H65:S65)</f>
        <v>0</v>
      </c>
      <c r="U65" s="274">
        <f t="shared" ca="1" si="2"/>
        <v>-3060</v>
      </c>
      <c r="V65" s="303">
        <v>41322</v>
      </c>
      <c r="W65" s="304" t="s">
        <v>692</v>
      </c>
      <c r="X65" s="315" t="s">
        <v>758</v>
      </c>
      <c r="Y65" s="305"/>
      <c r="Z65" s="305"/>
      <c r="AA65" s="305"/>
      <c r="AB65" s="305"/>
      <c r="AC65" s="305"/>
      <c r="AD65" s="306"/>
      <c r="AE65" s="307">
        <v>40227</v>
      </c>
      <c r="AF65" s="278">
        <f t="shared" ca="1" si="4"/>
        <v>1964</v>
      </c>
      <c r="AG65" s="299" t="s">
        <v>41</v>
      </c>
    </row>
    <row r="66" spans="1:38" s="311" customFormat="1" ht="30" customHeight="1" thickBot="1" x14ac:dyDescent="0.25">
      <c r="A66" s="299" t="s">
        <v>855</v>
      </c>
      <c r="B66" s="299" t="s">
        <v>667</v>
      </c>
      <c r="C66" s="299" t="s">
        <v>772</v>
      </c>
      <c r="D66" s="301" t="s">
        <v>856</v>
      </c>
      <c r="E66" s="301" t="s">
        <v>857</v>
      </c>
      <c r="F66" s="324"/>
      <c r="G66" s="302" t="s">
        <v>859</v>
      </c>
      <c r="H66" s="284">
        <v>0</v>
      </c>
      <c r="I66" s="284">
        <v>0</v>
      </c>
      <c r="J66" s="284">
        <v>0</v>
      </c>
      <c r="K66" s="284">
        <v>0</v>
      </c>
      <c r="L66" s="284">
        <v>0</v>
      </c>
      <c r="M66" s="284">
        <v>0</v>
      </c>
      <c r="N66" s="284">
        <v>0</v>
      </c>
      <c r="O66" s="284">
        <f>490.36+108.65</f>
        <v>599.01</v>
      </c>
      <c r="P66" s="284">
        <f>60.15+567.49</f>
        <v>627.64</v>
      </c>
      <c r="Q66" s="284">
        <f>120.25+457.49</f>
        <v>577.74</v>
      </c>
      <c r="R66" s="284">
        <v>547.44000000000005</v>
      </c>
      <c r="S66" s="284"/>
      <c r="T66" s="284">
        <f>SUM(H66:S66)</f>
        <v>2351.83</v>
      </c>
      <c r="U66" s="274">
        <f t="shared" ca="1" si="2"/>
        <v>-2768</v>
      </c>
      <c r="V66" s="303">
        <v>41614</v>
      </c>
      <c r="W66" s="310" t="s">
        <v>860</v>
      </c>
      <c r="X66" s="310" t="s">
        <v>861</v>
      </c>
      <c r="Y66" s="305"/>
      <c r="Z66" s="305"/>
      <c r="AA66" s="305"/>
      <c r="AB66" s="305"/>
      <c r="AC66" s="305"/>
      <c r="AD66" s="307"/>
      <c r="AE66" s="325">
        <v>40701</v>
      </c>
      <c r="AF66" s="278">
        <f ca="1">TODAY()-DATE(YEAR(AE66)+5,MONTH(AE66),DAY(AE66))</f>
        <v>1854</v>
      </c>
      <c r="AG66" s="299" t="s">
        <v>48</v>
      </c>
    </row>
    <row r="67" spans="1:38" s="311" customFormat="1" ht="30" customHeight="1" thickBot="1" x14ac:dyDescent="0.25">
      <c r="A67" s="299" t="s">
        <v>902</v>
      </c>
      <c r="B67" s="299" t="s">
        <v>23</v>
      </c>
      <c r="C67" s="299"/>
      <c r="D67" s="301" t="s">
        <v>903</v>
      </c>
      <c r="E67" s="301" t="s">
        <v>904</v>
      </c>
      <c r="F67" s="299"/>
      <c r="G67" s="302">
        <v>15900</v>
      </c>
      <c r="H67" s="284"/>
      <c r="I67" s="284"/>
      <c r="J67" s="284"/>
      <c r="K67" s="284"/>
      <c r="L67" s="284"/>
      <c r="M67" s="284"/>
      <c r="N67" s="284"/>
      <c r="O67" s="284"/>
      <c r="P67" s="284"/>
      <c r="Q67" s="284"/>
      <c r="R67" s="284"/>
      <c r="S67" s="284"/>
      <c r="T67" s="284"/>
      <c r="U67" s="274"/>
      <c r="V67" s="303" t="s">
        <v>233</v>
      </c>
      <c r="W67" s="310" t="s">
        <v>905</v>
      </c>
      <c r="X67" s="310" t="s">
        <v>911</v>
      </c>
      <c r="Y67" s="305"/>
      <c r="Z67" s="305"/>
      <c r="AA67" s="305"/>
      <c r="AB67" s="305"/>
      <c r="AC67" s="305"/>
      <c r="AD67" s="306"/>
      <c r="AE67" s="307">
        <v>40812</v>
      </c>
      <c r="AF67" s="278"/>
      <c r="AG67" s="299" t="s">
        <v>48</v>
      </c>
    </row>
    <row r="68" spans="1:38" s="311" customFormat="1" ht="30" customHeight="1" thickBot="1" x14ac:dyDescent="0.25">
      <c r="A68" s="327" t="s">
        <v>926</v>
      </c>
      <c r="B68" s="328"/>
      <c r="C68" s="329"/>
      <c r="D68" s="330" t="s">
        <v>927</v>
      </c>
      <c r="E68" s="330" t="s">
        <v>928</v>
      </c>
      <c r="F68" s="329"/>
      <c r="G68" s="331" t="s">
        <v>929</v>
      </c>
      <c r="H68" s="380"/>
      <c r="I68" s="380"/>
      <c r="J68" s="380"/>
      <c r="K68" s="380"/>
      <c r="L68" s="380"/>
      <c r="M68" s="380"/>
      <c r="N68" s="380"/>
      <c r="O68" s="380"/>
      <c r="P68" s="380"/>
      <c r="Q68" s="380"/>
      <c r="R68" s="380"/>
      <c r="S68" s="380"/>
      <c r="T68" s="380"/>
      <c r="U68" s="381"/>
      <c r="V68" s="332"/>
      <c r="W68" s="382" t="s">
        <v>930</v>
      </c>
      <c r="X68" s="333"/>
      <c r="Y68" s="334"/>
      <c r="Z68" s="334"/>
      <c r="AA68" s="334"/>
      <c r="AB68" s="334"/>
      <c r="AC68" s="334"/>
      <c r="AD68" s="335"/>
      <c r="AE68" s="336"/>
      <c r="AF68" s="383"/>
      <c r="AG68" s="327" t="s">
        <v>48</v>
      </c>
    </row>
    <row r="69" spans="1:38" s="311" customFormat="1" ht="30" customHeight="1" x14ac:dyDescent="0.2">
      <c r="A69" s="299" t="s">
        <v>718</v>
      </c>
      <c r="B69" s="299" t="s">
        <v>719</v>
      </c>
      <c r="C69" s="299" t="s">
        <v>617</v>
      </c>
      <c r="D69" s="301" t="s">
        <v>379</v>
      </c>
      <c r="E69" s="301" t="s">
        <v>720</v>
      </c>
      <c r="F69" s="299"/>
      <c r="G69" s="302" t="s">
        <v>721</v>
      </c>
      <c r="H69" s="284"/>
      <c r="I69" s="284"/>
      <c r="J69" s="284"/>
      <c r="K69" s="284"/>
      <c r="L69" s="284"/>
      <c r="M69" s="284"/>
      <c r="N69" s="284"/>
      <c r="O69" s="284"/>
      <c r="P69" s="284"/>
      <c r="Q69" s="284"/>
      <c r="R69" s="284"/>
      <c r="S69" s="284"/>
      <c r="T69" s="284">
        <f>SUM(H69:S69)</f>
        <v>0</v>
      </c>
      <c r="U69" s="274"/>
      <c r="V69" s="303"/>
      <c r="W69" s="304" t="s">
        <v>945</v>
      </c>
      <c r="X69" s="315" t="s">
        <v>745</v>
      </c>
      <c r="Y69" s="305"/>
      <c r="Z69" s="305"/>
      <c r="AA69" s="305"/>
      <c r="AB69" s="305"/>
      <c r="AC69" s="305"/>
      <c r="AD69" s="306"/>
      <c r="AE69" s="307">
        <v>40451</v>
      </c>
      <c r="AF69" s="278">
        <f ca="1">TODAY()-DATE(YEAR(AE69)+6,MONTH(AE69),DAY(AE69))</f>
        <v>1739</v>
      </c>
      <c r="AG69" s="299" t="s">
        <v>41</v>
      </c>
    </row>
    <row r="70" spans="1:38" ht="12" customHeight="1" x14ac:dyDescent="0.2">
      <c r="A70" s="52"/>
      <c r="B70" s="52"/>
      <c r="C70" s="52"/>
      <c r="E70" s="52"/>
      <c r="H70" s="260"/>
      <c r="I70" s="260"/>
      <c r="J70" s="260"/>
      <c r="K70" s="260"/>
      <c r="L70" s="260"/>
      <c r="M70" s="260"/>
      <c r="N70" s="260"/>
      <c r="O70" s="260"/>
      <c r="P70" s="260"/>
      <c r="Q70" s="260"/>
      <c r="R70" s="260"/>
      <c r="S70" s="261" t="s">
        <v>891</v>
      </c>
      <c r="T70" s="262">
        <f>SUM(T11:T69)</f>
        <v>2218963.59</v>
      </c>
      <c r="V70" s="74"/>
    </row>
    <row r="71" spans="1:38" ht="20.100000000000001" customHeight="1" x14ac:dyDescent="0.2">
      <c r="A71" s="52"/>
      <c r="B71" s="52"/>
      <c r="C71" s="52"/>
      <c r="D71" s="53" t="s">
        <v>235</v>
      </c>
      <c r="E71" s="253" t="s">
        <v>239</v>
      </c>
      <c r="U71" s="75"/>
      <c r="V71" s="74"/>
      <c r="AE71" s="927"/>
      <c r="AF71" s="927"/>
      <c r="AG71" s="927"/>
      <c r="AH71" s="927"/>
      <c r="AI71" s="927"/>
      <c r="AJ71" s="927"/>
      <c r="AK71" s="927"/>
      <c r="AL71" s="927"/>
    </row>
    <row r="72" spans="1:38" ht="20.100000000000001" customHeight="1" x14ac:dyDescent="0.2">
      <c r="A72" s="52"/>
      <c r="B72" s="52"/>
      <c r="C72" s="52"/>
      <c r="D72" s="53" t="s">
        <v>236</v>
      </c>
      <c r="E72" s="253" t="s">
        <v>388</v>
      </c>
      <c r="V72" s="74"/>
    </row>
    <row r="73" spans="1:38" ht="20.100000000000001" customHeight="1" x14ac:dyDescent="0.2">
      <c r="A73" s="52"/>
      <c r="B73" s="52"/>
      <c r="C73" s="52"/>
      <c r="D73" s="53" t="s">
        <v>237</v>
      </c>
      <c r="E73" s="253" t="s">
        <v>389</v>
      </c>
      <c r="V73" s="74"/>
    </row>
    <row r="74" spans="1:38" ht="20.100000000000001" customHeight="1" x14ac:dyDescent="0.2">
      <c r="D74" s="53" t="s">
        <v>238</v>
      </c>
      <c r="E74" s="253" t="s">
        <v>390</v>
      </c>
    </row>
    <row r="75" spans="1:38" ht="20.100000000000001" customHeight="1" x14ac:dyDescent="0.2">
      <c r="D75" s="1" t="s">
        <v>699</v>
      </c>
      <c r="E75" s="253" t="s">
        <v>702</v>
      </c>
    </row>
    <row r="76" spans="1:38" ht="20.100000000000001" customHeight="1" x14ac:dyDescent="0.2">
      <c r="E76" s="253" t="s">
        <v>858</v>
      </c>
    </row>
  </sheetData>
  <mergeCells count="17">
    <mergeCell ref="AE71:AL71"/>
    <mergeCell ref="V9:V10"/>
    <mergeCell ref="W9:W10"/>
    <mergeCell ref="X9:X10"/>
    <mergeCell ref="Y9:AC9"/>
    <mergeCell ref="AD9:AD10"/>
    <mergeCell ref="AG9:AG10"/>
    <mergeCell ref="A6:AG6"/>
    <mergeCell ref="A9:A10"/>
    <mergeCell ref="B9:B10"/>
    <mergeCell ref="C9:C10"/>
    <mergeCell ref="D9:D10"/>
    <mergeCell ref="E9:E10"/>
    <mergeCell ref="F9:F10"/>
    <mergeCell ref="G9:G10"/>
    <mergeCell ref="U9:U10"/>
    <mergeCell ref="H9:T9"/>
  </mergeCells>
  <phoneticPr fontId="2" type="noConversion"/>
  <conditionalFormatting sqref="A18:E18 AG18 Y18:AE18 U18:W18 G18:S18 U19 U25:U27">
    <cfRule type="expression" dxfId="102" priority="12" stopIfTrue="1">
      <formula>$G18:$G66&lt;=30</formula>
    </cfRule>
  </conditionalFormatting>
  <conditionalFormatting sqref="AF11:AF17">
    <cfRule type="expression" dxfId="101" priority="14" stopIfTrue="1">
      <formula>$AF11&gt;=-390</formula>
    </cfRule>
  </conditionalFormatting>
  <conditionalFormatting sqref="AF18:AF22 AF25 AF27:AF69">
    <cfRule type="expression" dxfId="100" priority="15" stopIfTrue="1">
      <formula>$AF18&gt;=-120</formula>
    </cfRule>
  </conditionalFormatting>
  <conditionalFormatting sqref="U15 U56:U68">
    <cfRule type="expression" dxfId="99" priority="18" stopIfTrue="1">
      <formula>$G15:$G66&lt;=30</formula>
    </cfRule>
  </conditionalFormatting>
  <conditionalFormatting sqref="U14 U28 U31:U55">
    <cfRule type="expression" dxfId="98" priority="19" stopIfTrue="1">
      <formula>$G14:$G66&lt;=30</formula>
    </cfRule>
  </conditionalFormatting>
  <conditionalFormatting sqref="U22">
    <cfRule type="expression" dxfId="97" priority="10" stopIfTrue="1">
      <formula>$G22:$G70&lt;=30</formula>
    </cfRule>
  </conditionalFormatting>
  <conditionalFormatting sqref="U22 U11:U13 U18:U19 U25:U27">
    <cfRule type="expression" dxfId="96" priority="9" stopIfTrue="1">
      <formula>$G11:$G64&lt;=30</formula>
    </cfRule>
  </conditionalFormatting>
  <conditionalFormatting sqref="U28 U31:U55">
    <cfRule type="expression" dxfId="95" priority="6" stopIfTrue="1">
      <formula>$G28:$G75&lt;=30</formula>
    </cfRule>
  </conditionalFormatting>
  <conditionalFormatting sqref="U30">
    <cfRule type="expression" dxfId="94" priority="4" stopIfTrue="1">
      <formula>$G30:$G77&lt;=30</formula>
    </cfRule>
  </conditionalFormatting>
  <conditionalFormatting sqref="U30">
    <cfRule type="expression" dxfId="93" priority="3" stopIfTrue="1">
      <formula>$G30:$G82&lt;=30</formula>
    </cfRule>
  </conditionalFormatting>
  <conditionalFormatting sqref="U56:U68">
    <cfRule type="expression" dxfId="92" priority="2" stopIfTrue="1">
      <formula>$G56:$G102&lt;=30</formula>
    </cfRule>
  </conditionalFormatting>
  <pageMargins left="0.19685039370078741" right="0.19685039370078741" top="0.19685039370078741" bottom="0.19685039370078741" header="0.51181102362204722" footer="0.51181102362204722"/>
  <pageSetup paperSize="9" scale="60" firstPageNumber="0" orientation="portrait" horizontalDpi="300" verticalDpi="300" r:id="rId1"/>
  <headerFooter alignWithMargins="0">
    <oddHeader>&amp;R&amp;P</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25</vt:i4>
      </vt:variant>
      <vt:variant>
        <vt:lpstr>Intervalos Nomeados</vt:lpstr>
      </vt:variant>
      <vt:variant>
        <vt:i4>8</vt:i4>
      </vt:variant>
    </vt:vector>
  </HeadingPairs>
  <TitlesOfParts>
    <vt:vector size="33" baseType="lpstr">
      <vt:lpstr>Posição em 31_03_2007 TCE</vt:lpstr>
      <vt:lpstr>Posição em 25-08-2008  TCE</vt:lpstr>
      <vt:lpstr>Posição em 31_12_2005 _ TCE</vt:lpstr>
      <vt:lpstr>Posição em 31_12_2007</vt:lpstr>
      <vt:lpstr>Posição em 31-12-2008 TCE</vt:lpstr>
      <vt:lpstr>Rascunho de 2008</vt:lpstr>
      <vt:lpstr>Posição em 31-12-2009</vt:lpstr>
      <vt:lpstr>Posição em 31-12-2010</vt:lpstr>
      <vt:lpstr>Posição em 2011</vt:lpstr>
      <vt:lpstr>Posição em 31-12-2011</vt:lpstr>
      <vt:lpstr>Posição em 2012</vt:lpstr>
      <vt:lpstr>Planilha TCEGO em 31-03-2012</vt:lpstr>
      <vt:lpstr>Planilha TCE-GO em 31-12-2011</vt:lpstr>
      <vt:lpstr>Planilha enviada ao COOFI</vt:lpstr>
      <vt:lpstr>Posição em 2012 (2)</vt:lpstr>
      <vt:lpstr>Posição em 2013</vt:lpstr>
      <vt:lpstr>Posição em 2014</vt:lpstr>
      <vt:lpstr>Posição em 2015</vt:lpstr>
      <vt:lpstr>Posição em 2016</vt:lpstr>
      <vt:lpstr>Posição em 2017</vt:lpstr>
      <vt:lpstr>Posição em 2018</vt:lpstr>
      <vt:lpstr>Posição em 2019</vt:lpstr>
      <vt:lpstr>Posição em 2020</vt:lpstr>
      <vt:lpstr>Posição em 2021</vt:lpstr>
      <vt:lpstr>Planilha1</vt:lpstr>
      <vt:lpstr>'Planilha TCEGO em 31-03-2012'!Titulos_de_impressao</vt:lpstr>
      <vt:lpstr>'Planilha TCE-GO em 31-12-2011'!Titulos_de_impressao</vt:lpstr>
      <vt:lpstr>'Posição em 2011'!Titulos_de_impressao</vt:lpstr>
      <vt:lpstr>'Posição em 31_03_2007 TCE'!Titulos_de_impressao</vt:lpstr>
      <vt:lpstr>'Posição em 31-12-2008 TCE'!Titulos_de_impressao</vt:lpstr>
      <vt:lpstr>'Posição em 31-12-2009'!Titulos_de_impressao</vt:lpstr>
      <vt:lpstr>'Posição em 31-12-2010'!Titulos_de_impressao</vt:lpstr>
      <vt:lpstr>'Rascunho de 2008'!Titulos_de_impressao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Simone de Oliveira  Guimarães</dc:creator>
  <cp:lastModifiedBy>Johnilton de Almeida e Silva</cp:lastModifiedBy>
  <cp:lastPrinted>2021-07-05T13:19:22Z</cp:lastPrinted>
  <dcterms:created xsi:type="dcterms:W3CDTF">2016-01-05T18:58:10Z</dcterms:created>
  <dcterms:modified xsi:type="dcterms:W3CDTF">2021-07-05T13:32:33Z</dcterms:modified>
</cp:coreProperties>
</file>