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_de_trabalho" defaultThemeVersion="124226"/>
  <bookViews>
    <workbookView xWindow="-21585" yWindow="0" windowWidth="21600" windowHeight="12495" tabRatio="847" firstSheet="6" activeTab="6"/>
  </bookViews>
  <sheets>
    <sheet name="JAN 2014" sheetId="44" state="hidden" r:id="rId1"/>
    <sheet name="FEV 2014 " sheetId="45" state="hidden" r:id="rId2"/>
    <sheet name="MAR 2014 " sheetId="46" state="hidden" r:id="rId3"/>
    <sheet name="ABR 2014  " sheetId="47" state="hidden" r:id="rId4"/>
    <sheet name="MAI 2014  " sheetId="48" state="hidden" r:id="rId5"/>
    <sheet name="JUN 2014" sheetId="49" state="hidden" r:id="rId6"/>
    <sheet name="AGOSTO 23" sheetId="16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61" l="1"/>
  <c r="F29" i="161"/>
  <c r="F46" i="161"/>
  <c r="F63" i="161" l="1"/>
  <c r="F61" i="161"/>
  <c r="F58" i="161"/>
  <c r="F54" i="161"/>
  <c r="K50" i="161"/>
  <c r="F50" i="161"/>
  <c r="F47" i="161"/>
  <c r="F45" i="161"/>
  <c r="K40" i="161"/>
  <c r="F39" i="161"/>
  <c r="K33" i="161"/>
  <c r="K31" i="161" s="1"/>
  <c r="F32" i="161"/>
  <c r="F28" i="161"/>
  <c r="K23" i="161"/>
  <c r="F22" i="161"/>
  <c r="K21" i="161"/>
  <c r="F19" i="161"/>
  <c r="K16" i="161"/>
  <c r="K14" i="161" s="1"/>
  <c r="K12" i="161"/>
  <c r="K29" i="161" l="1"/>
  <c r="K67" i="161" s="1"/>
  <c r="F52" i="161"/>
  <c r="F49" i="161" s="1"/>
  <c r="F37" i="161"/>
  <c r="F36" i="161" s="1"/>
  <c r="F14" i="161"/>
  <c r="F67" i="161" s="1"/>
  <c r="L67" i="161" l="1"/>
  <c r="E16" i="49" l="1"/>
  <c r="J16" i="49"/>
  <c r="E19" i="49"/>
  <c r="E22" i="49"/>
  <c r="J23" i="49"/>
  <c r="J20" i="49" s="1"/>
  <c r="E29" i="49"/>
  <c r="E28" i="49" s="1"/>
  <c r="J33" i="49"/>
  <c r="J29" i="49"/>
  <c r="E35" i="49"/>
  <c r="J39" i="49"/>
  <c r="E41" i="49"/>
  <c r="J46" i="49"/>
  <c r="E50" i="49"/>
  <c r="E55" i="49"/>
  <c r="E54" i="49" s="1"/>
  <c r="E59" i="49"/>
  <c r="E60" i="49"/>
  <c r="E61" i="49"/>
  <c r="E65" i="49"/>
  <c r="E64" i="49" s="1"/>
  <c r="E14" i="48"/>
  <c r="E16" i="48"/>
  <c r="J16" i="48"/>
  <c r="E19" i="48"/>
  <c r="E23" i="48"/>
  <c r="J23" i="48"/>
  <c r="J20" i="48" s="1"/>
  <c r="E24" i="48"/>
  <c r="E25" i="48"/>
  <c r="E26" i="48"/>
  <c r="E29" i="48"/>
  <c r="E28" i="48" s="1"/>
  <c r="J33" i="48"/>
  <c r="J29" i="48" s="1"/>
  <c r="E35" i="48"/>
  <c r="J39" i="48"/>
  <c r="E42" i="48"/>
  <c r="E43" i="48"/>
  <c r="E44" i="48"/>
  <c r="E45" i="48"/>
  <c r="J46" i="48"/>
  <c r="E50" i="48"/>
  <c r="E55" i="48"/>
  <c r="E54" i="48" s="1"/>
  <c r="E59" i="48"/>
  <c r="E60" i="48"/>
  <c r="E61" i="48"/>
  <c r="E65" i="48"/>
  <c r="E64" i="48" s="1"/>
  <c r="E16" i="47"/>
  <c r="J16" i="47"/>
  <c r="E19" i="47"/>
  <c r="E23" i="47"/>
  <c r="J23" i="47"/>
  <c r="J20" i="47" s="1"/>
  <c r="E24" i="47"/>
  <c r="E25" i="47"/>
  <c r="E26" i="47"/>
  <c r="E29" i="47"/>
  <c r="E28" i="47" s="1"/>
  <c r="J33" i="47"/>
  <c r="J29" i="47" s="1"/>
  <c r="E35" i="47"/>
  <c r="J39" i="47"/>
  <c r="E42" i="47"/>
  <c r="E43" i="47"/>
  <c r="E44" i="47"/>
  <c r="E45" i="47"/>
  <c r="J46" i="47"/>
  <c r="E50" i="47"/>
  <c r="E55" i="47"/>
  <c r="E54" i="47" s="1"/>
  <c r="E59" i="47"/>
  <c r="E60" i="47"/>
  <c r="E61" i="47"/>
  <c r="E65" i="47"/>
  <c r="E64" i="47" s="1"/>
  <c r="E16" i="46"/>
  <c r="J16" i="46"/>
  <c r="E19" i="46"/>
  <c r="E23" i="46"/>
  <c r="J23" i="46"/>
  <c r="J20" i="46" s="1"/>
  <c r="E24" i="46"/>
  <c r="E25" i="46"/>
  <c r="E26" i="46"/>
  <c r="E28" i="46"/>
  <c r="J33" i="46"/>
  <c r="J29" i="46" s="1"/>
  <c r="E35" i="46"/>
  <c r="J39" i="46"/>
  <c r="E42" i="46"/>
  <c r="E43" i="46"/>
  <c r="E44" i="46"/>
  <c r="E45" i="46"/>
  <c r="J46" i="46"/>
  <c r="E50" i="46"/>
  <c r="E55" i="46"/>
  <c r="E54" i="46" s="1"/>
  <c r="E59" i="46"/>
  <c r="E60" i="46"/>
  <c r="E61" i="46"/>
  <c r="E65" i="46"/>
  <c r="E64" i="46" s="1"/>
  <c r="E16" i="45"/>
  <c r="J16" i="45"/>
  <c r="E19" i="45"/>
  <c r="J23" i="45"/>
  <c r="J20" i="45" s="1"/>
  <c r="E24" i="45"/>
  <c r="E22" i="45" s="1"/>
  <c r="E29" i="45"/>
  <c r="E28" i="45"/>
  <c r="J33" i="45"/>
  <c r="J29" i="45" s="1"/>
  <c r="E35" i="45"/>
  <c r="J39" i="45"/>
  <c r="E43" i="45"/>
  <c r="E41" i="45" s="1"/>
  <c r="J46" i="45"/>
  <c r="E50" i="45"/>
  <c r="E55" i="45"/>
  <c r="E54" i="45"/>
  <c r="E59" i="45"/>
  <c r="E60" i="45"/>
  <c r="E61" i="45"/>
  <c r="E65" i="45"/>
  <c r="E64" i="45" s="1"/>
  <c r="E16" i="44"/>
  <c r="J16" i="44"/>
  <c r="E19" i="44"/>
  <c r="J23" i="44"/>
  <c r="J20" i="44"/>
  <c r="E24" i="44"/>
  <c r="E22" i="44" s="1"/>
  <c r="E29" i="44"/>
  <c r="E28" i="44" s="1"/>
  <c r="J33" i="44"/>
  <c r="J29" i="44" s="1"/>
  <c r="E35" i="44"/>
  <c r="J39" i="44"/>
  <c r="E43" i="44"/>
  <c r="E41" i="44" s="1"/>
  <c r="J46" i="44"/>
  <c r="E50" i="44"/>
  <c r="E55" i="44"/>
  <c r="E57" i="44"/>
  <c r="E58" i="44"/>
  <c r="E61" i="44"/>
  <c r="E64" i="44"/>
  <c r="E22" i="48" l="1"/>
  <c r="E12" i="48" s="1"/>
  <c r="J12" i="45"/>
  <c r="E58" i="47"/>
  <c r="E22" i="47"/>
  <c r="E12" i="47" s="1"/>
  <c r="J12" i="48"/>
  <c r="J67" i="48" s="1"/>
  <c r="E41" i="46"/>
  <c r="E39" i="46" s="1"/>
  <c r="E39" i="44"/>
  <c r="E12" i="44"/>
  <c r="E67" i="44" s="1"/>
  <c r="E54" i="44"/>
  <c r="E53" i="44" s="1"/>
  <c r="J12" i="47"/>
  <c r="J12" i="49"/>
  <c r="J67" i="49" s="1"/>
  <c r="J12" i="44"/>
  <c r="J67" i="44"/>
  <c r="E58" i="45"/>
  <c r="E53" i="45" s="1"/>
  <c r="E12" i="45"/>
  <c r="E58" i="46"/>
  <c r="E53" i="46" s="1"/>
  <c r="E67" i="46" s="1"/>
  <c r="E22" i="46"/>
  <c r="E12" i="46" s="1"/>
  <c r="E41" i="48"/>
  <c r="E39" i="48" s="1"/>
  <c r="E58" i="49"/>
  <c r="E53" i="49" s="1"/>
  <c r="E12" i="49"/>
  <c r="E39" i="45"/>
  <c r="E41" i="47"/>
  <c r="E39" i="47" s="1"/>
  <c r="E58" i="48"/>
  <c r="E53" i="48" s="1"/>
  <c r="E39" i="49"/>
  <c r="E53" i="47"/>
  <c r="J67" i="47"/>
  <c r="J67" i="45"/>
  <c r="J12" i="46"/>
  <c r="J67" i="46" s="1"/>
  <c r="E67" i="49" l="1"/>
  <c r="E67" i="45"/>
  <c r="E67" i="48"/>
  <c r="L67" i="46"/>
  <c r="E67" i="47"/>
</calcChain>
</file>

<file path=xl/sharedStrings.xml><?xml version="1.0" encoding="utf-8"?>
<sst xmlns="http://schemas.openxmlformats.org/spreadsheetml/2006/main" count="660" uniqueCount="157">
  <si>
    <t xml:space="preserve">  AGÊNCIA DE FOMENTO DE GOIÁS S/A</t>
  </si>
  <si>
    <t xml:space="preserve">                                       CNPJ.: 03.918.382/0001-25</t>
  </si>
  <si>
    <t xml:space="preserve">                               AV. Goiás N. 91 – Centro – Goiânia (GO)  </t>
  </si>
  <si>
    <t xml:space="preserve">                        TEL.: (62) 3216-4900  -  FAX.: (62) 3216-4970</t>
  </si>
  <si>
    <t>ATIVO</t>
  </si>
  <si>
    <t>PASSIVO</t>
  </si>
  <si>
    <t xml:space="preserve"> CIRCULANTE </t>
  </si>
  <si>
    <t xml:space="preserve">CIRCULANTE </t>
  </si>
  <si>
    <t xml:space="preserve">          DISPONIBILIDADES </t>
  </si>
  <si>
    <t xml:space="preserve">          APLICAÇÕES INTERF. DE LIQUIDEZ</t>
  </si>
  <si>
    <t xml:space="preserve">        OBRIGAÇÕES POR EMPRÉST. E REPASSE</t>
  </si>
  <si>
    <t>Aplicações Interfinanceiras de Liquidez</t>
  </si>
  <si>
    <t>Repasses do País - BNDES</t>
  </si>
  <si>
    <t xml:space="preserve">          TÍTULOS E VALORES MOBILIÁRIOS</t>
  </si>
  <si>
    <t>Carteira Própria</t>
  </si>
  <si>
    <t xml:space="preserve">        OUTRAS OBRIGAÇÕES </t>
  </si>
  <si>
    <t>Sociais Estatutárias</t>
  </si>
  <si>
    <t xml:space="preserve">          OPERAÇÕES DE CRÉDITO</t>
  </si>
  <si>
    <t>Fiscais e Previdenciárias</t>
  </si>
  <si>
    <t>Empréstimos Setor Privado</t>
  </si>
  <si>
    <t>Diversas</t>
  </si>
  <si>
    <t xml:space="preserve">Financiamentos Setor Privado </t>
  </si>
  <si>
    <t>Provisão p/ Operaç. Créd. Liq. Duvidosa</t>
  </si>
  <si>
    <t xml:space="preserve">          OUTROS CRÉDITOS </t>
  </si>
  <si>
    <t xml:space="preserve">Diversos </t>
  </si>
  <si>
    <t>EXIGÍVEL A LONGO PRAZO</t>
  </si>
  <si>
    <t xml:space="preserve">          OUTROS VALORES E BENS </t>
  </si>
  <si>
    <t>Outros Valores e Bens</t>
  </si>
  <si>
    <t xml:space="preserve"> REALIZÁVEL A LONGO PRAZO</t>
  </si>
  <si>
    <t xml:space="preserve">PATRIMÔNIO LÍQUIDO </t>
  </si>
  <si>
    <t>Capital Social</t>
  </si>
  <si>
    <t xml:space="preserve">          OPERAÇÕES DE CRÉDITOS</t>
  </si>
  <si>
    <t>Reserva de Lucros</t>
  </si>
  <si>
    <t>CONTAS DE RESULTADO</t>
  </si>
  <si>
    <t>Receitas Operacionais</t>
  </si>
  <si>
    <t>(Despesas Operacionais)</t>
  </si>
  <si>
    <t>Receitas Não Operacionais</t>
  </si>
  <si>
    <t xml:space="preserve"> PERMANENTE </t>
  </si>
  <si>
    <t>(Imposto de Renda)</t>
  </si>
  <si>
    <t>(Contribuição Social)</t>
  </si>
  <si>
    <t>Depreciações Acumuladas</t>
  </si>
  <si>
    <t>Amortizações Acumuladas</t>
  </si>
  <si>
    <t xml:space="preserve">Gastos com Logiciais </t>
  </si>
  <si>
    <t xml:space="preserve"> TOTAL DO ATIVO </t>
  </si>
  <si>
    <t>TOTAL DO PASSIVO</t>
  </si>
  <si>
    <t>DIRETORIA EXECUTIVA</t>
  </si>
  <si>
    <t>CONSELHO FISCAL</t>
  </si>
  <si>
    <t>SILVIO VIEIRA DA LUZ</t>
  </si>
  <si>
    <t>MACÁRIO DE PAIVA NETO</t>
  </si>
  <si>
    <t>Diretor Administrativo e Financeiro</t>
  </si>
  <si>
    <t>WANDERLINO TEIXEIRA DE CARVALHO</t>
  </si>
  <si>
    <t>CONTADORA</t>
  </si>
  <si>
    <t>MARIA TEREZINHA DA MOTA BATISTA</t>
  </si>
  <si>
    <t xml:space="preserve">  Diretor de Operações</t>
  </si>
  <si>
    <t>Contadora CRC/GO 8.031 CPF 311.069.601-06</t>
  </si>
  <si>
    <t>NÃO CIRCULANTE:</t>
  </si>
  <si>
    <t>Ativos Intangíveis</t>
  </si>
  <si>
    <t>Repasses do País - FCO</t>
  </si>
  <si>
    <t>Diversos</t>
  </si>
  <si>
    <t xml:space="preserve">  Diretor Presidente</t>
  </si>
  <si>
    <t>JEAN CARLO DOS SANTOS</t>
  </si>
  <si>
    <t>LUIZ ANTÔNIO FAUSTINO MARONEZI</t>
  </si>
  <si>
    <t xml:space="preserve">ALAIR DA SILVA ROCHA </t>
  </si>
  <si>
    <t xml:space="preserve"> Repasses do País - FCO</t>
  </si>
  <si>
    <t>ANDREA AURORA GUEDES VECCI</t>
  </si>
  <si>
    <t xml:space="preserve">  Diretora de Prospecção de Oportunidades de Negócios</t>
  </si>
  <si>
    <t xml:space="preserve">Financiamentos Rurais e Agronegócio </t>
  </si>
  <si>
    <t xml:space="preserve">     IMÓVEIS DE USO</t>
  </si>
  <si>
    <t>Terrenos</t>
  </si>
  <si>
    <t>Edificações</t>
  </si>
  <si>
    <t xml:space="preserve">     IMOBILIZADO DE USO</t>
  </si>
  <si>
    <t>Imobilizado de Uso</t>
  </si>
  <si>
    <t xml:space="preserve">                                            BALANCETE  PATRIMONIAL EM 31 DE JANEIRO  DE 2014   EM R$ </t>
  </si>
  <si>
    <t>Despesas Operacionais</t>
  </si>
  <si>
    <t>Despesas Não Operacionais</t>
  </si>
  <si>
    <t xml:space="preserve">     DIFERIDO </t>
  </si>
  <si>
    <t xml:space="preserve">     INTANGÍVEL</t>
  </si>
  <si>
    <t xml:space="preserve">                                            BALANCETE  PATRIMONIAL EM 31 DE MARÇO  DE 2014   EM R$ </t>
  </si>
  <si>
    <t xml:space="preserve">                                            BALANCETE  PATRIMONIAL EM 28 DE FEVEREIRO  DE 2014   EM R$ </t>
  </si>
  <si>
    <t xml:space="preserve">                                            BALANCETE  PATRIMONIAL EM 30 DE ABRIL  DE 2014   EM R$ </t>
  </si>
  <si>
    <t xml:space="preserve">                                            BALANCETE  PATRIMONIAL EM 31 DE MAIO  DE 2014   EM R$ </t>
  </si>
  <si>
    <t xml:space="preserve">          OPERAÇÕES DE CRÉDITOS     </t>
  </si>
  <si>
    <t xml:space="preserve"> TOTAL DO ATIVO                      </t>
  </si>
  <si>
    <t xml:space="preserve">                                            BALANCETE  PATRIMONIAL EM 30 DE JULHO  DE 2014   EM R$ </t>
  </si>
  <si>
    <t>Provisão p/ Outros Créditos</t>
  </si>
  <si>
    <t xml:space="preserve">Diretor de Operações </t>
  </si>
  <si>
    <t>Repasses do País - FUNGETUR</t>
  </si>
  <si>
    <t>CEF - PNMPO</t>
  </si>
  <si>
    <t xml:space="preserve">Outros </t>
  </si>
  <si>
    <t>Ações</t>
  </si>
  <si>
    <t>AGÊNCIA DE FOMENTO DE GOIÁS S/A</t>
  </si>
  <si>
    <t xml:space="preserve">Av. Goiás n. 91 – Centro – CEP. 74.005-010 - Goiânia/GO  </t>
  </si>
  <si>
    <t>CNPJ.: 03.918.382/0001-25</t>
  </si>
  <si>
    <t>(Em R$ mil)</t>
  </si>
  <si>
    <t xml:space="preserve">DISPONIBILIDADES </t>
  </si>
  <si>
    <t xml:space="preserve"> </t>
  </si>
  <si>
    <t/>
  </si>
  <si>
    <t>TÍTULOS E VALORES MOBILIÁRIOS</t>
  </si>
  <si>
    <t>Repasses do País - FINEP</t>
  </si>
  <si>
    <t>Financiamentos Rurais e Agroindustriais</t>
  </si>
  <si>
    <t xml:space="preserve">   Diversas</t>
  </si>
  <si>
    <t xml:space="preserve">OUTROS CRÉDITOS </t>
  </si>
  <si>
    <t>NÃO CIRCULANTE</t>
  </si>
  <si>
    <t>OUTROS VALORES E BENS</t>
  </si>
  <si>
    <t xml:space="preserve">Provisão p/Desv. De Outros Val. e Bens </t>
  </si>
  <si>
    <t>REALIZÁVEL A LONGO PRAZO</t>
  </si>
  <si>
    <t>OUTROS CRÉDITOS</t>
  </si>
  <si>
    <t>INVESTIMENTOS</t>
  </si>
  <si>
    <t>IMÓVEIS DE USO</t>
  </si>
  <si>
    <t>IMOBILIZADO DE USO</t>
  </si>
  <si>
    <t xml:space="preserve">Imobilizado de Uso </t>
  </si>
  <si>
    <t>IMOBILIZADO EM CURSO</t>
  </si>
  <si>
    <t>INTANGÍVEL</t>
  </si>
  <si>
    <t>Ativos Intangiveis</t>
  </si>
  <si>
    <t>Amortizações Intangíveis</t>
  </si>
  <si>
    <t>TOTAL DO ATIVO</t>
  </si>
  <si>
    <t xml:space="preserve">TOTAL DO PASSIVO </t>
  </si>
  <si>
    <t>DIRETORIA  EXECUTIVA:</t>
  </si>
  <si>
    <t>Diretor-Presidente</t>
  </si>
  <si>
    <t>CONSELHO  FISCAL:</t>
  </si>
  <si>
    <t>GISELE BARRETO LOURENÇO</t>
  </si>
  <si>
    <t>DONALVAM MOREIRA DA COSTA MAIA</t>
  </si>
  <si>
    <t>RONALDO DUTRA BAIA</t>
  </si>
  <si>
    <t xml:space="preserve">                                                                                                                                                                                                            CONSELHO  DE  ADMINISTRAÇÃO</t>
  </si>
  <si>
    <t>Imposto de Renda</t>
  </si>
  <si>
    <t>Contribuição Social</t>
  </si>
  <si>
    <t>Ativo Fiscal Diferido - Contribuições</t>
  </si>
  <si>
    <t xml:space="preserve">Receitas Não Operacionais </t>
  </si>
  <si>
    <t xml:space="preserve">Despesas Operacionais </t>
  </si>
  <si>
    <t>Ativo Fiscal Diferido - Imposto de Renda</t>
  </si>
  <si>
    <t xml:space="preserve">Participação no Lucro </t>
  </si>
  <si>
    <t>LUCAS FERNANDES DE ANDRADE</t>
  </si>
  <si>
    <r>
      <t>OBRIG. POR EMP. E REPASSES</t>
    </r>
    <r>
      <rPr>
        <b/>
        <sz val="10"/>
        <color theme="1"/>
        <rFont val="Calibri"/>
        <family val="2"/>
        <scheme val="minor"/>
      </rPr>
      <t xml:space="preserve"> (NOTA 9))</t>
    </r>
  </si>
  <si>
    <r>
      <t xml:space="preserve">OPERAÇÕES DE CRÉDITO </t>
    </r>
    <r>
      <rPr>
        <sz val="12"/>
        <color theme="1"/>
        <rFont val="Calibri"/>
        <family val="2"/>
        <scheme val="minor"/>
      </rPr>
      <t>(NOTA 5)</t>
    </r>
  </si>
  <si>
    <r>
      <t>OUTRAS OBRIGAÇÕES</t>
    </r>
    <r>
      <rPr>
        <b/>
        <sz val="10"/>
        <color theme="1"/>
        <rFont val="Calibri"/>
        <family val="2"/>
        <scheme val="minor"/>
      </rPr>
      <t xml:space="preserve"> (NOTA 10) </t>
    </r>
  </si>
  <si>
    <t>Outros Valores e Bens (NOTA 7)</t>
  </si>
  <si>
    <r>
      <t xml:space="preserve">OBRIG. POR EMP. E REPASSES </t>
    </r>
    <r>
      <rPr>
        <b/>
        <sz val="10"/>
        <color theme="1"/>
        <rFont val="Calibri"/>
        <family val="2"/>
        <scheme val="minor"/>
      </rPr>
      <t>(NOTA 9)</t>
    </r>
  </si>
  <si>
    <r>
      <t>OPERAÇÕES DE CRÉDITO</t>
    </r>
    <r>
      <rPr>
        <sz val="12"/>
        <color theme="1"/>
        <rFont val="Calibri"/>
        <family val="2"/>
        <scheme val="minor"/>
      </rPr>
      <t xml:space="preserve"> (NOTA 5)</t>
    </r>
  </si>
  <si>
    <t xml:space="preserve"> Capital Social  (NOTA 11)</t>
  </si>
  <si>
    <t>Diversos (NOTA 6)</t>
  </si>
  <si>
    <r>
      <t xml:space="preserve">PERMANENTE </t>
    </r>
    <r>
      <rPr>
        <sz val="12"/>
        <color theme="1"/>
        <rFont val="Calibri"/>
        <family val="2"/>
        <scheme val="minor"/>
      </rPr>
      <t xml:space="preserve"> (NOTA 8)</t>
    </r>
  </si>
  <si>
    <t>OUTROS IMOBILIZADO DE USO</t>
  </si>
  <si>
    <t>EURÍPEDES JOSÉ DO CARMO</t>
  </si>
  <si>
    <t xml:space="preserve"> CRC-GO008031/O-0</t>
  </si>
  <si>
    <r>
      <t>EURÍPEDES JOSÉ DO CARMO -</t>
    </r>
    <r>
      <rPr>
        <b/>
        <sz val="12"/>
        <rFont val="Calibri"/>
        <family val="2"/>
        <scheme val="minor"/>
      </rPr>
      <t xml:space="preserve"> Vice-Presidente</t>
    </r>
  </si>
  <si>
    <r>
      <t>ADONÍDIO NETO VIEIRA JÚNIOR -</t>
    </r>
    <r>
      <rPr>
        <b/>
        <sz val="12"/>
        <rFont val="Calibri"/>
        <family val="2"/>
        <scheme val="minor"/>
      </rPr>
      <t xml:space="preserve"> Membro</t>
    </r>
  </si>
  <si>
    <r>
      <t xml:space="preserve">VÂNIA APARECIDA DA SILVEIRA </t>
    </r>
    <r>
      <rPr>
        <b/>
        <sz val="12"/>
        <rFont val="Calibri"/>
        <family val="2"/>
        <scheme val="minor"/>
      </rPr>
      <t>- Membro</t>
    </r>
  </si>
  <si>
    <t>Lucro ou Prejuizo Acumulados (JCP)</t>
  </si>
  <si>
    <r>
      <t>Carteira Própria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(NOTA 4)</t>
    </r>
  </si>
  <si>
    <r>
      <t>Diversos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(NOTA 6)</t>
    </r>
  </si>
  <si>
    <t xml:space="preserve">Aumento de Capital </t>
  </si>
  <si>
    <t>LEANDRA ADRIANO DE ASSIS</t>
  </si>
  <si>
    <r>
      <t>ALAN FARIAS TAVARES -</t>
    </r>
    <r>
      <rPr>
        <b/>
        <sz val="12"/>
        <rFont val="Calibri"/>
        <family val="2"/>
        <scheme val="minor"/>
      </rPr>
      <t xml:space="preserve"> Presidente</t>
    </r>
  </si>
  <si>
    <r>
      <t xml:space="preserve">NATÁLIA CALIMAN VIEIRA - </t>
    </r>
    <r>
      <rPr>
        <b/>
        <sz val="12"/>
        <rFont val="Calibri"/>
        <family val="2"/>
        <scheme val="minor"/>
      </rPr>
      <t>Membro</t>
    </r>
  </si>
  <si>
    <r>
      <t xml:space="preserve">FABRÍCIO BORGES AMARAL </t>
    </r>
    <r>
      <rPr>
        <b/>
        <sz val="12"/>
        <rFont val="Calibri"/>
        <family val="2"/>
        <scheme val="minor"/>
      </rPr>
      <t>- Membro</t>
    </r>
  </si>
  <si>
    <t>Goiânia/GO, 20 de junho de 2023</t>
  </si>
  <si>
    <t>BALANÇO PATRIMONIAL AGOSTO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</si>
</sst>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0_);\(0.00\)"/>
    <numFmt numFmtId="167" formatCode="dd/mm/yy"/>
  </numFmts>
  <fonts count="3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i/>
      <sz val="7"/>
      <name val="Times New Roman"/>
      <family val="1"/>
    </font>
    <font>
      <i/>
      <sz val="8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0"/>
      <color rgb="FF1F497D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6" fillId="0" borderId="0" applyFont="0" applyFill="0" applyBorder="0" applyAlignment="0" applyProtection="0"/>
  </cellStyleXfs>
  <cellXfs count="23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38" fontId="1" fillId="0" borderId="3" xfId="0" applyNumberFormat="1" applyFont="1" applyBorder="1" applyAlignment="1">
      <alignment horizontal="right"/>
    </xf>
    <xf numFmtId="0" fontId="1" fillId="0" borderId="0" xfId="0" applyFont="1"/>
    <xf numFmtId="0" fontId="1" fillId="0" borderId="4" xfId="0" applyFont="1" applyBorder="1"/>
    <xf numFmtId="3" fontId="1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/>
    <xf numFmtId="38" fontId="1" fillId="0" borderId="5" xfId="0" applyNumberFormat="1" applyFont="1" applyBorder="1" applyAlignment="1">
      <alignment horizontal="right"/>
    </xf>
    <xf numFmtId="0" fontId="7" fillId="0" borderId="0" xfId="0" applyFont="1"/>
    <xf numFmtId="0" fontId="5" fillId="0" borderId="0" xfId="0" applyFont="1"/>
    <xf numFmtId="0" fontId="7" fillId="3" borderId="0" xfId="0" applyFont="1" applyFill="1"/>
    <xf numFmtId="166" fontId="7" fillId="3" borderId="0" xfId="0" applyNumberFormat="1" applyFont="1" applyFill="1"/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8" fontId="7" fillId="0" borderId="5" xfId="0" applyNumberFormat="1" applyFont="1" applyBorder="1" applyAlignment="1">
      <alignment horizontal="right"/>
    </xf>
    <xf numFmtId="0" fontId="10" fillId="0" borderId="0" xfId="0" applyFont="1"/>
    <xf numFmtId="38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5" fillId="0" borderId="0" xfId="0" applyNumberFormat="1" applyFont="1" applyAlignment="1">
      <alignment horizontal="right"/>
    </xf>
    <xf numFmtId="49" fontId="7" fillId="3" borderId="0" xfId="0" applyNumberFormat="1" applyFont="1" applyFill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166" fontId="12" fillId="3" borderId="0" xfId="0" applyNumberFormat="1" applyFont="1" applyFill="1"/>
    <xf numFmtId="3" fontId="7" fillId="3" borderId="0" xfId="0" applyNumberFormat="1" applyFont="1" applyFill="1"/>
    <xf numFmtId="0" fontId="1" fillId="0" borderId="0" xfId="0" applyFont="1" applyProtection="1">
      <protection locked="0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39" fontId="5" fillId="3" borderId="8" xfId="0" applyNumberFormat="1" applyFont="1" applyFill="1" applyBorder="1" applyAlignment="1">
      <alignment horizontal="center" vertical="center"/>
    </xf>
    <xf numFmtId="39" fontId="8" fillId="3" borderId="9" xfId="0" applyNumberFormat="1" applyFont="1" applyFill="1" applyBorder="1" applyAlignment="1">
      <alignment horizontal="right"/>
    </xf>
    <xf numFmtId="37" fontId="8" fillId="3" borderId="9" xfId="0" applyNumberFormat="1" applyFont="1" applyFill="1" applyBorder="1" applyAlignment="1">
      <alignment horizontal="right"/>
    </xf>
    <xf numFmtId="40" fontId="8" fillId="3" borderId="9" xfId="0" applyNumberFormat="1" applyFont="1" applyFill="1" applyBorder="1" applyAlignment="1">
      <alignment horizontal="right"/>
    </xf>
    <xf numFmtId="40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/>
    <xf numFmtId="166" fontId="7" fillId="3" borderId="10" xfId="0" applyNumberFormat="1" applyFont="1" applyFill="1" applyBorder="1"/>
    <xf numFmtId="166" fontId="7" fillId="3" borderId="9" xfId="0" applyNumberFormat="1" applyFont="1" applyFill="1" applyBorder="1" applyAlignment="1">
      <alignment horizontal="right"/>
    </xf>
    <xf numFmtId="166" fontId="8" fillId="3" borderId="10" xfId="0" applyNumberFormat="1" applyFont="1" applyFill="1" applyBorder="1"/>
    <xf numFmtId="165" fontId="8" fillId="3" borderId="9" xfId="1" applyFont="1" applyFill="1" applyBorder="1" applyAlignment="1">
      <alignment horizontal="right"/>
    </xf>
    <xf numFmtId="165" fontId="7" fillId="3" borderId="9" xfId="1" applyFont="1" applyFill="1" applyBorder="1" applyAlignment="1">
      <alignment horizontal="right"/>
    </xf>
    <xf numFmtId="166" fontId="7" fillId="3" borderId="9" xfId="0" applyNumberFormat="1" applyFont="1" applyFill="1" applyBorder="1"/>
    <xf numFmtId="164" fontId="8" fillId="3" borderId="11" xfId="0" applyNumberFormat="1" applyFont="1" applyFill="1" applyBorder="1" applyAlignment="1">
      <alignment horizontal="left"/>
    </xf>
    <xf numFmtId="164" fontId="8" fillId="3" borderId="12" xfId="0" applyNumberFormat="1" applyFont="1" applyFill="1" applyBorder="1" applyAlignment="1">
      <alignment horizontal="left"/>
    </xf>
    <xf numFmtId="4" fontId="8" fillId="3" borderId="13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left"/>
    </xf>
    <xf numFmtId="0" fontId="8" fillId="3" borderId="10" xfId="0" applyFont="1" applyFill="1" applyBorder="1"/>
    <xf numFmtId="0" fontId="11" fillId="3" borderId="10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164" fontId="8" fillId="3" borderId="13" xfId="0" applyNumberFormat="1" applyFont="1" applyFill="1" applyBorder="1" applyAlignment="1">
      <alignment horizontal="right"/>
    </xf>
    <xf numFmtId="165" fontId="17" fillId="3" borderId="9" xfId="1" applyFont="1" applyFill="1" applyBorder="1" applyAlignment="1">
      <alignment horizontal="right"/>
    </xf>
    <xf numFmtId="166" fontId="17" fillId="3" borderId="10" xfId="0" applyNumberFormat="1" applyFont="1" applyFill="1" applyBorder="1"/>
    <xf numFmtId="166" fontId="17" fillId="3" borderId="0" xfId="0" applyNumberFormat="1" applyFont="1" applyFill="1"/>
    <xf numFmtId="0" fontId="18" fillId="0" borderId="0" xfId="0" applyFont="1" applyAlignment="1">
      <alignment horizontal="right" vertical="center" wrapText="1"/>
    </xf>
    <xf numFmtId="165" fontId="5" fillId="0" borderId="0" xfId="0" applyNumberFormat="1" applyFont="1"/>
    <xf numFmtId="166" fontId="7" fillId="3" borderId="0" xfId="0" applyNumberFormat="1" applyFont="1" applyFill="1" applyAlignment="1">
      <alignment horizontal="left"/>
    </xf>
    <xf numFmtId="164" fontId="7" fillId="3" borderId="0" xfId="0" applyNumberFormat="1" applyFont="1" applyFill="1" applyAlignment="1">
      <alignment horizontal="left"/>
    </xf>
    <xf numFmtId="164" fontId="8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166" fontId="8" fillId="3" borderId="0" xfId="0" applyNumberFormat="1" applyFont="1" applyFill="1" applyAlignment="1">
      <alignment horizontal="left"/>
    </xf>
    <xf numFmtId="166" fontId="7" fillId="3" borderId="0" xfId="0" applyNumberFormat="1" applyFont="1" applyFill="1" applyAlignment="1">
      <alignment horizontal="right"/>
    </xf>
    <xf numFmtId="165" fontId="8" fillId="3" borderId="0" xfId="1" applyFont="1" applyFill="1" applyBorder="1" applyAlignment="1">
      <alignment horizontal="right"/>
    </xf>
    <xf numFmtId="165" fontId="7" fillId="3" borderId="0" xfId="1" applyFont="1" applyFill="1" applyBorder="1" applyAlignment="1">
      <alignment horizontal="right"/>
    </xf>
    <xf numFmtId="43" fontId="1" fillId="0" borderId="0" xfId="0" applyNumberFormat="1" applyFont="1"/>
    <xf numFmtId="165" fontId="19" fillId="3" borderId="9" xfId="1" applyFont="1" applyFill="1" applyBorder="1" applyAlignment="1">
      <alignment horizontal="right"/>
    </xf>
    <xf numFmtId="165" fontId="20" fillId="3" borderId="9" xfId="1" applyFont="1" applyFill="1" applyBorder="1" applyAlignment="1">
      <alignment horizontal="right"/>
    </xf>
    <xf numFmtId="40" fontId="20" fillId="3" borderId="9" xfId="0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1" fillId="3" borderId="0" xfId="0" applyFont="1" applyFill="1"/>
    <xf numFmtId="3" fontId="1" fillId="3" borderId="0" xfId="0" applyNumberFormat="1" applyFont="1" applyFill="1"/>
    <xf numFmtId="38" fontId="1" fillId="3" borderId="0" xfId="0" applyNumberFormat="1" applyFont="1" applyFill="1" applyAlignment="1">
      <alignment horizontal="right"/>
    </xf>
    <xf numFmtId="0" fontId="14" fillId="3" borderId="0" xfId="0" applyFont="1" applyFill="1" applyAlignment="1">
      <alignment horizontal="center"/>
    </xf>
    <xf numFmtId="0" fontId="20" fillId="3" borderId="0" xfId="0" applyFont="1" applyFill="1"/>
    <xf numFmtId="3" fontId="20" fillId="3" borderId="0" xfId="0" applyNumberFormat="1" applyFont="1" applyFill="1"/>
    <xf numFmtId="38" fontId="20" fillId="3" borderId="0" xfId="0" applyNumberFormat="1" applyFont="1" applyFill="1" applyAlignment="1">
      <alignment horizontal="right"/>
    </xf>
    <xf numFmtId="0" fontId="22" fillId="3" borderId="0" xfId="0" applyFont="1" applyFill="1"/>
    <xf numFmtId="3" fontId="22" fillId="3" borderId="0" xfId="0" applyNumberFormat="1" applyFont="1" applyFill="1"/>
    <xf numFmtId="167" fontId="23" fillId="3" borderId="14" xfId="0" applyNumberFormat="1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23" fillId="3" borderId="16" xfId="0" applyFont="1" applyFill="1" applyBorder="1" applyAlignment="1">
      <alignment horizontal="center"/>
    </xf>
    <xf numFmtId="39" fontId="24" fillId="3" borderId="17" xfId="0" applyNumberFormat="1" applyFont="1" applyFill="1" applyBorder="1" applyAlignment="1">
      <alignment horizontal="center" vertical="center"/>
    </xf>
    <xf numFmtId="39" fontId="23" fillId="3" borderId="17" xfId="0" applyNumberFormat="1" applyFont="1" applyFill="1" applyBorder="1" applyAlignment="1">
      <alignment horizontal="center" vertical="center"/>
    </xf>
    <xf numFmtId="0" fontId="23" fillId="3" borderId="15" xfId="0" applyFont="1" applyFill="1" applyBorder="1"/>
    <xf numFmtId="164" fontId="23" fillId="3" borderId="18" xfId="0" applyNumberFormat="1" applyFont="1" applyFill="1" applyBorder="1" applyAlignment="1">
      <alignment horizontal="right" vertical="center"/>
    </xf>
    <xf numFmtId="0" fontId="23" fillId="3" borderId="15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3" fillId="3" borderId="16" xfId="0" applyFont="1" applyFill="1" applyBorder="1" applyAlignment="1">
      <alignment horizontal="left"/>
    </xf>
    <xf numFmtId="39" fontId="23" fillId="3" borderId="18" xfId="0" applyNumberFormat="1" applyFont="1" applyFill="1" applyBorder="1" applyAlignment="1">
      <alignment horizontal="right" vertical="center"/>
    </xf>
    <xf numFmtId="164" fontId="23" fillId="3" borderId="0" xfId="0" applyNumberFormat="1" applyFont="1" applyFill="1" applyAlignment="1">
      <alignment horizontal="left"/>
    </xf>
    <xf numFmtId="37" fontId="23" fillId="3" borderId="18" xfId="0" applyNumberFormat="1" applyFont="1" applyFill="1" applyBorder="1" applyAlignment="1">
      <alignment horizontal="right"/>
    </xf>
    <xf numFmtId="0" fontId="25" fillId="3" borderId="15" xfId="0" applyFont="1" applyFill="1" applyBorder="1"/>
    <xf numFmtId="164" fontId="25" fillId="3" borderId="0" xfId="0" applyNumberFormat="1" applyFont="1" applyFill="1" applyAlignment="1">
      <alignment horizontal="left"/>
    </xf>
    <xf numFmtId="164" fontId="25" fillId="3" borderId="18" xfId="0" applyNumberFormat="1" applyFont="1" applyFill="1" applyBorder="1" applyAlignment="1">
      <alignment horizontal="right" vertical="center"/>
    </xf>
    <xf numFmtId="0" fontId="5" fillId="0" borderId="0" xfId="0" quotePrefix="1" applyFont="1"/>
    <xf numFmtId="0" fontId="25" fillId="3" borderId="0" xfId="0" applyFont="1" applyFill="1" applyAlignment="1">
      <alignment horizontal="left"/>
    </xf>
    <xf numFmtId="0" fontId="25" fillId="3" borderId="16" xfId="0" applyFont="1" applyFill="1" applyBorder="1" applyAlignment="1">
      <alignment horizontal="left"/>
    </xf>
    <xf numFmtId="0" fontId="25" fillId="3" borderId="0" xfId="0" applyFont="1" applyFill="1"/>
    <xf numFmtId="0" fontId="1" fillId="0" borderId="0" xfId="0" quotePrefix="1" applyFont="1"/>
    <xf numFmtId="164" fontId="25" fillId="3" borderId="0" xfId="0" applyNumberFormat="1" applyFont="1" applyFill="1"/>
    <xf numFmtId="3" fontId="25" fillId="3" borderId="16" xfId="0" applyNumberFormat="1" applyFont="1" applyFill="1" applyBorder="1"/>
    <xf numFmtId="164" fontId="25" fillId="3" borderId="18" xfId="0" applyNumberFormat="1" applyFont="1" applyFill="1" applyBorder="1" applyAlignment="1">
      <alignment horizontal="right"/>
    </xf>
    <xf numFmtId="37" fontId="25" fillId="3" borderId="18" xfId="0" applyNumberFormat="1" applyFont="1" applyFill="1" applyBorder="1" applyAlignment="1">
      <alignment horizontal="right"/>
    </xf>
    <xf numFmtId="3" fontId="25" fillId="3" borderId="0" xfId="0" applyNumberFormat="1" applyFont="1" applyFill="1"/>
    <xf numFmtId="164" fontId="23" fillId="3" borderId="0" xfId="0" applyNumberFormat="1" applyFont="1" applyFill="1"/>
    <xf numFmtId="164" fontId="23" fillId="3" borderId="16" xfId="0" applyNumberFormat="1" applyFont="1" applyFill="1" applyBorder="1"/>
    <xf numFmtId="164" fontId="23" fillId="3" borderId="18" xfId="0" applyNumberFormat="1" applyFont="1" applyFill="1" applyBorder="1" applyAlignment="1">
      <alignment horizontal="right"/>
    </xf>
    <xf numFmtId="0" fontId="26" fillId="3" borderId="0" xfId="0" applyFont="1" applyFill="1" applyAlignment="1">
      <alignment horizontal="left"/>
    </xf>
    <xf numFmtId="0" fontId="23" fillId="3" borderId="0" xfId="0" applyFont="1" applyFill="1"/>
    <xf numFmtId="3" fontId="23" fillId="3" borderId="16" xfId="0" applyNumberFormat="1" applyFont="1" applyFill="1" applyBorder="1"/>
    <xf numFmtId="164" fontId="19" fillId="3" borderId="0" xfId="0" applyNumberFormat="1" applyFont="1" applyFill="1" applyAlignment="1">
      <alignment horizontal="right" vertical="center"/>
    </xf>
    <xf numFmtId="0" fontId="25" fillId="3" borderId="19" xfId="0" applyFont="1" applyFill="1" applyBorder="1"/>
    <xf numFmtId="0" fontId="25" fillId="3" borderId="20" xfId="0" applyFont="1" applyFill="1" applyBorder="1"/>
    <xf numFmtId="3" fontId="25" fillId="3" borderId="21" xfId="0" applyNumberFormat="1" applyFont="1" applyFill="1" applyBorder="1"/>
    <xf numFmtId="164" fontId="25" fillId="3" borderId="17" xfId="0" applyNumberFormat="1" applyFont="1" applyFill="1" applyBorder="1" applyAlignment="1">
      <alignment horizontal="right" vertical="center"/>
    </xf>
    <xf numFmtId="164" fontId="25" fillId="3" borderId="20" xfId="0" applyNumberFormat="1" applyFont="1" applyFill="1" applyBorder="1"/>
    <xf numFmtId="39" fontId="25" fillId="3" borderId="17" xfId="0" applyNumberFormat="1" applyFont="1" applyFill="1" applyBorder="1" applyAlignment="1">
      <alignment horizontal="right"/>
    </xf>
    <xf numFmtId="0" fontId="27" fillId="3" borderId="22" xfId="0" applyFont="1" applyFill="1" applyBorder="1" applyAlignment="1">
      <alignment horizontal="left"/>
    </xf>
    <xf numFmtId="0" fontId="27" fillId="3" borderId="23" xfId="0" applyFont="1" applyFill="1" applyBorder="1" applyAlignment="1">
      <alignment horizontal="left"/>
    </xf>
    <xf numFmtId="0" fontId="27" fillId="3" borderId="24" xfId="0" applyFont="1" applyFill="1" applyBorder="1" applyAlignment="1">
      <alignment horizontal="left"/>
    </xf>
    <xf numFmtId="164" fontId="27" fillId="3" borderId="25" xfId="0" applyNumberFormat="1" applyFont="1" applyFill="1" applyBorder="1" applyAlignment="1">
      <alignment horizontal="right" vertical="center"/>
    </xf>
    <xf numFmtId="164" fontId="27" fillId="3" borderId="23" xfId="0" applyNumberFormat="1" applyFont="1" applyFill="1" applyBorder="1" applyAlignment="1">
      <alignment horizontal="left"/>
    </xf>
    <xf numFmtId="39" fontId="27" fillId="3" borderId="25" xfId="0" applyNumberFormat="1" applyFont="1" applyFill="1" applyBorder="1" applyAlignment="1">
      <alignment horizontal="right"/>
    </xf>
    <xf numFmtId="0" fontId="28" fillId="3" borderId="0" xfId="0" applyFont="1" applyFill="1"/>
    <xf numFmtId="3" fontId="28" fillId="3" borderId="0" xfId="0" applyNumberFormat="1" applyFont="1" applyFill="1"/>
    <xf numFmtId="0" fontId="15" fillId="0" borderId="0" xfId="0" applyFont="1" applyAlignment="1">
      <alignment horizontal="left" vertical="center" wrapText="1"/>
    </xf>
    <xf numFmtId="0" fontId="32" fillId="3" borderId="0" xfId="0" applyFont="1" applyFill="1" applyAlignment="1">
      <alignment horizontal="center"/>
    </xf>
    <xf numFmtId="38" fontId="32" fillId="3" borderId="0" xfId="0" applyNumberFormat="1" applyFont="1" applyFill="1" applyAlignment="1">
      <alignment horizontal="right"/>
    </xf>
    <xf numFmtId="0" fontId="21" fillId="3" borderId="0" xfId="0" applyFont="1" applyFill="1" applyAlignment="1">
      <alignment horizontal="left"/>
    </xf>
    <xf numFmtId="0" fontId="21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right"/>
    </xf>
    <xf numFmtId="0" fontId="32" fillId="3" borderId="0" xfId="0" applyFont="1" applyFill="1" applyAlignment="1">
      <alignment horizontal="left"/>
    </xf>
    <xf numFmtId="0" fontId="32" fillId="3" borderId="0" xfId="0" applyFont="1" applyFill="1"/>
    <xf numFmtId="3" fontId="32" fillId="3" borderId="0" xfId="0" applyNumberFormat="1" applyFont="1" applyFill="1" applyAlignment="1">
      <alignment horizontal="left"/>
    </xf>
    <xf numFmtId="3" fontId="32" fillId="3" borderId="0" xfId="0" applyNumberFormat="1" applyFont="1" applyFill="1"/>
    <xf numFmtId="3" fontId="7" fillId="0" borderId="0" xfId="0" applyNumberFormat="1" applyFont="1"/>
    <xf numFmtId="38" fontId="7" fillId="0" borderId="0" xfId="0" applyNumberFormat="1" applyFont="1" applyAlignment="1">
      <alignment horizontal="right"/>
    </xf>
    <xf numFmtId="164" fontId="34" fillId="3" borderId="0" xfId="0" applyNumberFormat="1" applyFont="1" applyFill="1"/>
    <xf numFmtId="3" fontId="34" fillId="3" borderId="16" xfId="0" applyNumberFormat="1" applyFont="1" applyFill="1" applyBorder="1"/>
    <xf numFmtId="164" fontId="34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/>
    </xf>
    <xf numFmtId="0" fontId="34" fillId="3" borderId="0" xfId="0" applyFont="1" applyFill="1" applyAlignment="1">
      <alignment horizontal="left"/>
    </xf>
    <xf numFmtId="0" fontId="34" fillId="3" borderId="16" xfId="0" applyFont="1" applyFill="1" applyBorder="1" applyAlignment="1">
      <alignment horizontal="left"/>
    </xf>
    <xf numFmtId="0" fontId="34" fillId="3" borderId="0" xfId="0" applyFont="1" applyFill="1"/>
    <xf numFmtId="164" fontId="5" fillId="0" borderId="0" xfId="0" applyNumberFormat="1" applyFont="1"/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3" borderId="10" xfId="0" applyFont="1" applyFill="1" applyBorder="1"/>
    <xf numFmtId="0" fontId="11" fillId="3" borderId="0" xfId="0" applyFont="1" applyFill="1"/>
    <xf numFmtId="166" fontId="7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166" fontId="8" fillId="3" borderId="10" xfId="0" applyNumberFormat="1" applyFont="1" applyFill="1" applyBorder="1" applyAlignment="1">
      <alignment horizontal="left"/>
    </xf>
    <xf numFmtId="166" fontId="8" fillId="3" borderId="0" xfId="0" applyNumberFormat="1" applyFont="1" applyFill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left"/>
    </xf>
    <xf numFmtId="166" fontId="11" fillId="3" borderId="10" xfId="0" applyNumberFormat="1" applyFont="1" applyFill="1" applyBorder="1" applyAlignment="1">
      <alignment horizontal="left" wrapText="1"/>
    </xf>
    <xf numFmtId="166" fontId="11" fillId="3" borderId="0" xfId="0" applyNumberFormat="1" applyFont="1" applyFill="1" applyAlignment="1">
      <alignment horizontal="left" wrapText="1"/>
    </xf>
    <xf numFmtId="164" fontId="11" fillId="3" borderId="10" xfId="0" applyNumberFormat="1" applyFont="1" applyFill="1" applyBorder="1" applyAlignment="1">
      <alignment horizontal="left" wrapText="1"/>
    </xf>
    <xf numFmtId="164" fontId="11" fillId="3" borderId="0" xfId="0" applyNumberFormat="1" applyFont="1" applyFill="1" applyAlignment="1">
      <alignment horizontal="left" wrapText="1"/>
    </xf>
    <xf numFmtId="164" fontId="7" fillId="3" borderId="0" xfId="0" applyNumberFormat="1" applyFont="1" applyFill="1"/>
    <xf numFmtId="0" fontId="0" fillId="0" borderId="0" xfId="0" applyAlignment="1">
      <alignment wrapText="1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left"/>
    </xf>
    <xf numFmtId="164" fontId="8" fillId="3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0" xfId="0" applyNumberFormat="1" applyFont="1" applyFill="1" applyAlignment="1">
      <alignment horizontal="center"/>
    </xf>
    <xf numFmtId="164" fontId="8" fillId="3" borderId="9" xfId="0" applyNumberFormat="1" applyFont="1" applyFill="1" applyBorder="1" applyAlignment="1">
      <alignment horizontal="center"/>
    </xf>
    <xf numFmtId="0" fontId="23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 vertical="center" wrapText="1"/>
    </xf>
    <xf numFmtId="3" fontId="30" fillId="3" borderId="23" xfId="0" applyNumberFormat="1" applyFont="1" applyFill="1" applyBorder="1" applyAlignment="1">
      <alignment horizontal="right"/>
    </xf>
    <xf numFmtId="0" fontId="21" fillId="3" borderId="32" xfId="0" applyFont="1" applyFill="1" applyBorder="1" applyAlignment="1">
      <alignment horizontal="center"/>
    </xf>
    <xf numFmtId="0" fontId="21" fillId="3" borderId="33" xfId="0" applyFont="1" applyFill="1" applyBorder="1" applyAlignment="1">
      <alignment horizontal="center"/>
    </xf>
    <xf numFmtId="0" fontId="21" fillId="3" borderId="34" xfId="0" applyFont="1" applyFill="1" applyBorder="1" applyAlignment="1">
      <alignment horizontal="center"/>
    </xf>
    <xf numFmtId="0" fontId="23" fillId="3" borderId="33" xfId="0" applyFont="1" applyFill="1" applyBorder="1" applyAlignment="1">
      <alignment horizontal="center"/>
    </xf>
    <xf numFmtId="0" fontId="23" fillId="3" borderId="34" xfId="0" applyFont="1" applyFill="1" applyBorder="1" applyAlignment="1">
      <alignment horizontal="center"/>
    </xf>
    <xf numFmtId="0" fontId="23" fillId="3" borderId="15" xfId="0" applyFont="1" applyFill="1" applyBorder="1" applyAlignment="1">
      <alignment horizontal="left"/>
    </xf>
    <xf numFmtId="0" fontId="23" fillId="3" borderId="16" xfId="0" applyFont="1" applyFill="1" applyBorder="1" applyAlignment="1">
      <alignment horizontal="left"/>
    </xf>
    <xf numFmtId="164" fontId="23" fillId="3" borderId="0" xfId="0" applyNumberFormat="1" applyFont="1" applyFill="1" applyAlignment="1">
      <alignment horizontal="left"/>
    </xf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3" borderId="0" xfId="0" applyFont="1" applyFill="1" applyAlignment="1">
      <alignment horizontal="left"/>
    </xf>
    <xf numFmtId="0" fontId="32" fillId="3" borderId="0" xfId="0" applyFont="1" applyFill="1" applyAlignment="1">
      <alignment horizontal="left" vertical="top"/>
    </xf>
    <xf numFmtId="0" fontId="32" fillId="3" borderId="0" xfId="0" applyFont="1" applyFill="1"/>
    <xf numFmtId="0" fontId="32" fillId="3" borderId="0" xfId="0" applyFont="1" applyFill="1" applyAlignment="1">
      <alignment horizontal="left"/>
    </xf>
    <xf numFmtId="3" fontId="33" fillId="0" borderId="0" xfId="0" applyNumberFormat="1" applyFont="1" applyAlignment="1">
      <alignment horizontal="right"/>
    </xf>
    <xf numFmtId="0" fontId="32" fillId="3" borderId="0" xfId="0" applyFont="1" applyFill="1" applyAlignment="1">
      <alignment horizontal="center" vertical="center"/>
    </xf>
    <xf numFmtId="164" fontId="34" fillId="3" borderId="0" xfId="0" applyNumberFormat="1" applyFont="1" applyFill="1" applyAlignment="1">
      <alignment horizontal="left"/>
    </xf>
    <xf numFmtId="3" fontId="21" fillId="3" borderId="20" xfId="0" applyNumberFormat="1" applyFont="1" applyFill="1" applyBorder="1" applyAlignment="1">
      <alignment horizontal="right"/>
    </xf>
    <xf numFmtId="0" fontId="21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5" fillId="3" borderId="0" xfId="0" applyFont="1" applyFill="1" applyAlignment="1">
      <alignment horizontal="left" vertical="center" wrapText="1"/>
    </xf>
    <xf numFmtId="0" fontId="25" fillId="3" borderId="0" xfId="0" applyFont="1" applyFill="1" applyAlignment="1">
      <alignment horizontal="left"/>
    </xf>
    <xf numFmtId="14" fontId="23" fillId="3" borderId="32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1178" name="Imagem 3" descr="logoGoiasFomento">
          <a:extLst>
            <a:ext uri="{FF2B5EF4-FFF2-40B4-BE49-F238E27FC236}">
              <a16:creationId xmlns="" xmlns:a16="http://schemas.microsoft.com/office/drawing/2014/main" id="{81AF35CE-ADD1-4839-AED5-5FA89607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1179" name="Imagem 4" descr="logoGoverno">
          <a:extLst>
            <a:ext uri="{FF2B5EF4-FFF2-40B4-BE49-F238E27FC236}">
              <a16:creationId xmlns="" xmlns:a16="http://schemas.microsoft.com/office/drawing/2014/main" id="{212B8FF5-37BF-4110-9D48-77D53C64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1180" name="Imagem 5" descr="logoSegplan">
          <a:extLst>
            <a:ext uri="{FF2B5EF4-FFF2-40B4-BE49-F238E27FC236}">
              <a16:creationId xmlns="" xmlns:a16="http://schemas.microsoft.com/office/drawing/2014/main" id="{D221C4BA-A7C9-46EF-A4EF-49529155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5226" name="Imagem 3" descr="logoGoiasFomento">
          <a:extLst>
            <a:ext uri="{FF2B5EF4-FFF2-40B4-BE49-F238E27FC236}">
              <a16:creationId xmlns="" xmlns:a16="http://schemas.microsoft.com/office/drawing/2014/main" id="{343466EE-F56F-4F86-BE0A-4E930354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5227" name="Imagem 4" descr="logoGoverno">
          <a:extLst>
            <a:ext uri="{FF2B5EF4-FFF2-40B4-BE49-F238E27FC236}">
              <a16:creationId xmlns="" xmlns:a16="http://schemas.microsoft.com/office/drawing/2014/main" id="{C6066B32-FCC7-48CA-B4C4-0FC58568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5228" name="Imagem 5" descr="logoSegplan">
          <a:extLst>
            <a:ext uri="{FF2B5EF4-FFF2-40B4-BE49-F238E27FC236}">
              <a16:creationId xmlns="" xmlns:a16="http://schemas.microsoft.com/office/drawing/2014/main" id="{360B857C-915D-4585-A49E-8C4AA9F0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7253" name="Imagem 3" descr="logoGoiasFomento">
          <a:extLst>
            <a:ext uri="{FF2B5EF4-FFF2-40B4-BE49-F238E27FC236}">
              <a16:creationId xmlns="" xmlns:a16="http://schemas.microsoft.com/office/drawing/2014/main" id="{4288A8CB-9C77-4733-A21E-8C3BD3D0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7254" name="Imagem 4" descr="logoGoverno">
          <a:extLst>
            <a:ext uri="{FF2B5EF4-FFF2-40B4-BE49-F238E27FC236}">
              <a16:creationId xmlns="" xmlns:a16="http://schemas.microsoft.com/office/drawing/2014/main" id="{0723D712-E5C5-4F00-B1A6-D1ECCB00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7255" name="Imagem 5" descr="logoSegplan">
          <a:extLst>
            <a:ext uri="{FF2B5EF4-FFF2-40B4-BE49-F238E27FC236}">
              <a16:creationId xmlns="" xmlns:a16="http://schemas.microsoft.com/office/drawing/2014/main" id="{CB5EC4D9-8CD4-42DE-A997-DB2EBA5F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96236" name="Imagem 3" descr="logoGoiasFomento">
          <a:extLst>
            <a:ext uri="{FF2B5EF4-FFF2-40B4-BE49-F238E27FC236}">
              <a16:creationId xmlns="" xmlns:a16="http://schemas.microsoft.com/office/drawing/2014/main" id="{66B7DB04-97C0-4C3C-AA80-E9AAAC91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96237" name="Imagem 4" descr="logoGoverno">
          <a:extLst>
            <a:ext uri="{FF2B5EF4-FFF2-40B4-BE49-F238E27FC236}">
              <a16:creationId xmlns="" xmlns:a16="http://schemas.microsoft.com/office/drawing/2014/main" id="{C4B41127-2445-4934-B1D5-DAFBE72F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96238" name="Imagem 5" descr="logoSegplan">
          <a:extLst>
            <a:ext uri="{FF2B5EF4-FFF2-40B4-BE49-F238E27FC236}">
              <a16:creationId xmlns="" xmlns:a16="http://schemas.microsoft.com/office/drawing/2014/main" id="{A40D2B2A-F436-4F34-A00F-C6CE5E84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1281" name="Imagem 3" descr="logoGoiasFomento">
          <a:extLst>
            <a:ext uri="{FF2B5EF4-FFF2-40B4-BE49-F238E27FC236}">
              <a16:creationId xmlns="" xmlns:a16="http://schemas.microsoft.com/office/drawing/2014/main" id="{DE863722-C414-4F1A-839A-E6143FA3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1282" name="Imagem 4" descr="logoGoverno">
          <a:extLst>
            <a:ext uri="{FF2B5EF4-FFF2-40B4-BE49-F238E27FC236}">
              <a16:creationId xmlns="" xmlns:a16="http://schemas.microsoft.com/office/drawing/2014/main" id="{39C2B5C6-D4AC-4A80-9CB1-0D06613D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1283" name="Imagem 5" descr="logoSegplan">
          <a:extLst>
            <a:ext uri="{FF2B5EF4-FFF2-40B4-BE49-F238E27FC236}">
              <a16:creationId xmlns="" xmlns:a16="http://schemas.microsoft.com/office/drawing/2014/main" id="{DED83A2C-FF9D-4D85-808E-86EDE9B7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6308" name="Imagem 3" descr="logoGoiasFomento">
          <a:extLst>
            <a:ext uri="{FF2B5EF4-FFF2-40B4-BE49-F238E27FC236}">
              <a16:creationId xmlns="" xmlns:a16="http://schemas.microsoft.com/office/drawing/2014/main" id="{8A727A78-A4A5-4A5F-9D1F-B4D694A5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6309" name="Imagem 4" descr="logoGoverno">
          <a:extLst>
            <a:ext uri="{FF2B5EF4-FFF2-40B4-BE49-F238E27FC236}">
              <a16:creationId xmlns="" xmlns:a16="http://schemas.microsoft.com/office/drawing/2014/main" id="{1B5BDC2E-C798-44EC-9A6B-4F2A7020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6310" name="Imagem 5" descr="logoSegplan">
          <a:extLst>
            <a:ext uri="{FF2B5EF4-FFF2-40B4-BE49-F238E27FC236}">
              <a16:creationId xmlns="" xmlns:a16="http://schemas.microsoft.com/office/drawing/2014/main" id="{1D69F688-4F2F-429D-B7E2-4BC4D6B8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1400175</xdr:colOff>
      <xdr:row>2</xdr:row>
      <xdr:rowOff>28575</xdr:rowOff>
    </xdr:from>
    <xdr:to>
      <xdr:col>4</xdr:col>
      <xdr:colOff>1400175</xdr:colOff>
      <xdr:row>3</xdr:row>
      <xdr:rowOff>0</xdr:rowOff>
    </xdr:to>
    <xdr:sp macro="" textlink="">
      <xdr:nvSpPr>
        <xdr:cNvPr id="2" name="Rectangle 13">
          <a:extLst>
            <a:ext uri="{FF2B5EF4-FFF2-40B4-BE49-F238E27FC236}">
              <a16:creationId xmlns="" xmlns:a16="http://schemas.microsoft.com/office/drawing/2014/main" id="{7299D522-62FE-4FD0-AD53-73D2B2B936F3}"/>
            </a:ext>
          </a:extLst>
        </xdr:cNvPr>
        <xdr:cNvSpPr>
          <a:spLocks noChangeArrowheads="1"/>
        </xdr:cNvSpPr>
      </xdr:nvSpPr>
      <xdr:spPr bwMode="auto">
        <a:xfrm>
          <a:off x="2352675" y="3524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</xdr:colOff>
      <xdr:row>0</xdr:row>
      <xdr:rowOff>95250</xdr:rowOff>
    </xdr:from>
    <xdr:to>
      <xdr:col>4</xdr:col>
      <xdr:colOff>1752601</xdr:colOff>
      <xdr:row>5</xdr:row>
      <xdr:rowOff>114299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6523EB48-6097-4D38-852F-533C8E89B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1" y="95250"/>
          <a:ext cx="1981200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89</xdr:row>
      <xdr:rowOff>85724</xdr:rowOff>
    </xdr:from>
    <xdr:to>
      <xdr:col>11</xdr:col>
      <xdr:colOff>19050</xdr:colOff>
      <xdr:row>90</xdr:row>
      <xdr:rowOff>95322</xdr:rowOff>
    </xdr:to>
    <xdr:pic>
      <xdr:nvPicPr>
        <xdr:cNvPr id="4" name="Imagem 2">
          <a:extLst>
            <a:ext uri="{FF2B5EF4-FFF2-40B4-BE49-F238E27FC236}">
              <a16:creationId xmlns="" xmlns:a16="http://schemas.microsoft.com/office/drawing/2014/main" id="{312D9F8E-CEBC-4184-9C81-F1EC00DFD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430749"/>
          <a:ext cx="8153400" cy="171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1733550</xdr:colOff>
      <xdr:row>0</xdr:row>
      <xdr:rowOff>123825</xdr:rowOff>
    </xdr:from>
    <xdr:to>
      <xdr:col>11</xdr:col>
      <xdr:colOff>438151</xdr:colOff>
      <xdr:row>5</xdr:row>
      <xdr:rowOff>85726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668E6373-8FB4-4B0C-8502-AE5BDD204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44" b="99568" l="19889" r="79277">
                      <a14:foregroundMark x1="54242" y1="55331" x2="54242" y2="55331"/>
                      <a14:foregroundMark x1="56259" y1="54899" x2="56259" y2="54899"/>
                      <a14:foregroundMark x1="50070" y1="42075" x2="50070" y2="42075"/>
                      <a14:foregroundMark x1="46662" y1="41643" x2="46662" y2="41643"/>
                      <a14:foregroundMark x1="54033" y1="49135" x2="54033" y2="49135"/>
                      <a14:foregroundMark x1="54868" y1="47118" x2="54868" y2="47118"/>
                      <a14:foregroundMark x1="49722" y1="48847" x2="49722" y2="48847"/>
                      <a14:foregroundMark x1="50000" y1="53602" x2="50000" y2="53602"/>
                      <a14:foregroundMark x1="49235" y1="52882" x2="49722" y2="59222"/>
                      <a14:foregroundMark x1="52712" y1="51585" x2="53060" y2="51153"/>
                      <a14:foregroundMark x1="58067" y1="47118" x2="58067" y2="47118"/>
                      <a14:foregroundMark x1="58693" y1="49135" x2="58693" y2="49135"/>
                      <a14:foregroundMark x1="50278" y1="63689" x2="50278" y2="63689"/>
                      <a14:foregroundMark x1="52017" y1="69308" x2="52017" y2="69308"/>
                      <a14:foregroundMark x1="35953" y1="35159" x2="35953" y2="35159"/>
                      <a14:foregroundMark x1="34840" y1="33862" x2="34840" y2="33862"/>
                      <a14:foregroundMark x1="34145" y1="36023" x2="34145" y2="36023"/>
                      <a14:foregroundMark x1="35049" y1="38329" x2="35049" y2="38329"/>
                      <a14:foregroundMark x1="34284" y1="38329" x2="34284" y2="38329"/>
                      <a14:foregroundMark x1="32893" y1="38329" x2="32684" y2="33429"/>
                      <a14:foregroundMark x1="32545" y1="33141" x2="34840" y2="30980"/>
                      <a14:foregroundMark x1="34910" y1="30980" x2="37483" y2="34582"/>
                      <a14:foregroundMark x1="37691" y1="35014" x2="35327" y2="38040"/>
                      <a14:foregroundMark x1="34492" y1="63256" x2="34492" y2="63256"/>
                      <a14:foregroundMark x1="33519" y1="59942" x2="33519" y2="59942"/>
                      <a14:foregroundMark x1="35257" y1="59222" x2="35257" y2="59222"/>
                      <a14:foregroundMark x1="34840" y1="65706" x2="32058" y2="58646"/>
                      <a14:foregroundMark x1="32128" y1="58646" x2="35535" y2="56484"/>
                      <a14:foregroundMark x1="46662" y1="61527" x2="46662" y2="61527"/>
                      <a14:foregroundMark x1="46801" y1="65274" x2="46801" y2="65274"/>
                      <a14:foregroundMark x1="47636" y1="66427" x2="47636" y2="66427"/>
                      <a14:foregroundMark x1="45132" y1="54899" x2="45828" y2="55908"/>
                      <a14:foregroundMark x1="43115" y1="55476" x2="43463" y2="57925"/>
                      <a14:foregroundMark x1="51669" y1="47406" x2="51669" y2="47406"/>
                      <a14:foregroundMark x1="46453" y1="57781" x2="47218" y2="60663"/>
                      <a14:foregroundMark x1="41655" y1="85879" x2="41655" y2="85879"/>
                      <a14:foregroundMark x1="56050" y1="95101" x2="56050" y2="95101"/>
                      <a14:foregroundMark x1="43533" y1="94957" x2="43533" y2="94957"/>
                      <a14:foregroundMark x1="44089" y1="96974" x2="44437" y2="97118"/>
                      <a14:foregroundMark x1="49861" y1="97550" x2="47844" y2="97550"/>
                      <a14:foregroundMark x1="47914" y1="93516" x2="53199" y2="94092"/>
                      <a14:foregroundMark x1="37552" y1="34726" x2="42698" y2="29827"/>
                      <a14:foregroundMark x1="37135" y1="45389" x2="38039" y2="52450"/>
                      <a14:foregroundMark x1="38873" y1="56916" x2="42142" y2="64121"/>
                      <a14:foregroundMark x1="47427" y1="73055" x2="47427" y2="73055"/>
                      <a14:foregroundMark x1="60987" y1="39193" x2="63213" y2="37608"/>
                      <a14:foregroundMark x1="62239" y1="44524" x2="62239" y2="44524"/>
                      <a14:foregroundMark x1="62031" y1="48703" x2="62031" y2="48703"/>
                      <a14:foregroundMark x1="61405" y1="54035" x2="61405" y2="54035"/>
                      <a14:foregroundMark x1="59666" y1="56916" x2="59666" y2="56916"/>
                      <a14:foregroundMark x1="57997" y1="60663" x2="57997" y2="60663"/>
                      <a14:foregroundMark x1="56189" y1="63689" x2="56189" y2="63689"/>
                      <a14:foregroundMark x1="53199" y1="71614" x2="54798" y2="65706"/>
                      <a14:foregroundMark x1="48609" y1="86023" x2="48609" y2="86023"/>
                      <a14:foregroundMark x1="45132" y1="86311" x2="45132" y2="86311"/>
                      <a14:foregroundMark x1="42072" y1="85159" x2="44437" y2="855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91325" y="123825"/>
          <a:ext cx="2390776" cy="771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86"/>
  <sheetViews>
    <sheetView topLeftCell="E52" workbookViewId="0">
      <selection activeCell="E23" sqref="E23"/>
    </sheetView>
  </sheetViews>
  <sheetFormatPr defaultRowHeight="12.75" x14ac:dyDescent="0.2"/>
  <cols>
    <col min="1" max="1" width="4.85546875" style="5" customWidth="1"/>
    <col min="2" max="2" width="11.42578125" style="5" customWidth="1"/>
    <col min="3" max="3" width="10.85546875" style="5" customWidth="1"/>
    <col min="4" max="4" width="18.140625" style="7" customWidth="1"/>
    <col min="5" max="5" width="20.140625" style="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7" customWidth="1"/>
    <col min="10" max="10" width="27.5703125" style="25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4"/>
      <c r="E2" s="8" t="s">
        <v>0</v>
      </c>
      <c r="F2" s="9"/>
      <c r="G2" s="9"/>
      <c r="H2" s="9"/>
      <c r="I2" s="9"/>
      <c r="J2" s="10"/>
      <c r="K2" s="9"/>
      <c r="L2" s="9"/>
      <c r="M2" s="9"/>
      <c r="N2" s="9"/>
    </row>
    <row r="3" spans="1:14" x14ac:dyDescent="0.2">
      <c r="A3" s="6"/>
      <c r="E3" s="11" t="s">
        <v>1</v>
      </c>
      <c r="F3" s="12"/>
      <c r="G3" s="12"/>
      <c r="H3" s="12"/>
      <c r="I3" s="12"/>
      <c r="J3" s="13"/>
      <c r="K3" s="12"/>
      <c r="L3" s="12"/>
      <c r="M3" s="12"/>
      <c r="N3" s="12"/>
    </row>
    <row r="4" spans="1:14" x14ac:dyDescent="0.2">
      <c r="A4" s="6"/>
      <c r="B4" s="193"/>
      <c r="C4" s="193"/>
      <c r="D4" s="66"/>
      <c r="E4" s="11" t="s">
        <v>2</v>
      </c>
      <c r="F4" s="12"/>
      <c r="G4" s="12"/>
      <c r="H4" s="12"/>
      <c r="I4" s="12"/>
      <c r="J4" s="13"/>
      <c r="K4" s="12"/>
      <c r="L4" s="12"/>
      <c r="M4" s="12"/>
      <c r="N4" s="12"/>
    </row>
    <row r="5" spans="1:14" ht="15" x14ac:dyDescent="0.25">
      <c r="A5" s="14"/>
      <c r="B5" s="193"/>
      <c r="C5" s="193"/>
      <c r="D5" s="76"/>
      <c r="E5" s="11" t="s">
        <v>3</v>
      </c>
      <c r="F5" s="12"/>
      <c r="G5" s="12"/>
      <c r="H5" s="12"/>
      <c r="I5" s="12"/>
      <c r="J5" s="13"/>
      <c r="K5" s="12"/>
      <c r="L5" s="12"/>
      <c r="M5" s="12"/>
      <c r="N5" s="12"/>
    </row>
    <row r="6" spans="1:14" ht="15.75" customHeight="1" x14ac:dyDescent="0.2">
      <c r="A6" s="194"/>
      <c r="B6" s="195"/>
      <c r="C6" s="195"/>
      <c r="D6" s="195"/>
      <c r="E6" s="195"/>
      <c r="J6" s="15"/>
    </row>
    <row r="7" spans="1:14" ht="24" customHeight="1" x14ac:dyDescent="0.2">
      <c r="A7" s="30"/>
      <c r="B7" s="31"/>
      <c r="C7" s="31"/>
      <c r="D7" s="31"/>
      <c r="E7" s="31"/>
      <c r="J7" s="15"/>
    </row>
    <row r="8" spans="1:14" ht="20.25" customHeight="1" x14ac:dyDescent="0.2">
      <c r="A8" s="196" t="s">
        <v>72</v>
      </c>
      <c r="B8" s="197"/>
      <c r="C8" s="197"/>
      <c r="D8" s="197"/>
      <c r="E8" s="197"/>
      <c r="F8" s="197"/>
      <c r="G8" s="197"/>
      <c r="H8" s="197"/>
      <c r="I8" s="197"/>
      <c r="J8" s="198"/>
    </row>
    <row r="9" spans="1:14" ht="15" customHeight="1" thickBot="1" x14ac:dyDescent="0.25">
      <c r="A9" s="196"/>
      <c r="B9" s="197"/>
      <c r="C9" s="197"/>
      <c r="D9" s="197"/>
      <c r="E9" s="197"/>
      <c r="F9" s="197"/>
      <c r="G9" s="197"/>
      <c r="H9" s="197"/>
      <c r="I9" s="197"/>
      <c r="J9" s="198"/>
    </row>
    <row r="10" spans="1:14" s="16" customFormat="1" ht="25.5" customHeight="1" thickBot="1" x14ac:dyDescent="0.35">
      <c r="A10" s="199" t="s">
        <v>4</v>
      </c>
      <c r="B10" s="200"/>
      <c r="C10" s="200"/>
      <c r="D10" s="200"/>
      <c r="E10" s="200"/>
      <c r="F10" s="199" t="s">
        <v>5</v>
      </c>
      <c r="G10" s="200"/>
      <c r="H10" s="200"/>
      <c r="I10" s="200"/>
      <c r="J10" s="201"/>
    </row>
    <row r="11" spans="1:14" s="16" customFormat="1" ht="19.5" customHeight="1" x14ac:dyDescent="0.25">
      <c r="A11" s="37"/>
      <c r="B11" s="38"/>
      <c r="C11" s="38"/>
      <c r="D11" s="38"/>
      <c r="E11" s="39"/>
      <c r="F11" s="37"/>
      <c r="G11" s="38"/>
      <c r="H11" s="38"/>
      <c r="I11" s="38"/>
      <c r="J11" s="39"/>
    </row>
    <row r="12" spans="1:14" s="17" customFormat="1" ht="15.75" x14ac:dyDescent="0.25">
      <c r="A12" s="181" t="s">
        <v>6</v>
      </c>
      <c r="B12" s="182"/>
      <c r="C12" s="182"/>
      <c r="D12" s="182"/>
      <c r="E12" s="48">
        <f>SUM(E14+E16+E19+E22+E28+E31+E35)</f>
        <v>117291523.52999999</v>
      </c>
      <c r="F12" s="202" t="s">
        <v>7</v>
      </c>
      <c r="G12" s="203"/>
      <c r="H12" s="203"/>
      <c r="I12" s="203"/>
      <c r="J12" s="40">
        <f>J16+J20</f>
        <v>9937084.5700000003</v>
      </c>
    </row>
    <row r="13" spans="1:14" s="17" customFormat="1" ht="15.75" x14ac:dyDescent="0.25">
      <c r="A13" s="74"/>
      <c r="B13" s="72"/>
      <c r="C13" s="72"/>
      <c r="D13" s="72"/>
      <c r="E13" s="49"/>
      <c r="F13" s="75"/>
      <c r="G13" s="70"/>
      <c r="H13" s="70"/>
      <c r="I13" s="70"/>
      <c r="J13" s="41"/>
    </row>
    <row r="14" spans="1:14" s="17" customFormat="1" ht="15.75" x14ac:dyDescent="0.25">
      <c r="A14" s="185" t="s">
        <v>8</v>
      </c>
      <c r="B14" s="186"/>
      <c r="C14" s="186"/>
      <c r="D14" s="186"/>
      <c r="E14" s="49">
        <v>49605.59</v>
      </c>
      <c r="F14" s="75"/>
      <c r="G14" s="204"/>
      <c r="H14" s="204"/>
      <c r="I14" s="204"/>
      <c r="J14" s="41"/>
    </row>
    <row r="15" spans="1:14" s="17" customFormat="1" ht="15.75" x14ac:dyDescent="0.25">
      <c r="A15" s="55"/>
      <c r="B15" s="72"/>
      <c r="C15" s="72"/>
      <c r="D15" s="72"/>
      <c r="E15" s="49"/>
      <c r="F15" s="205"/>
      <c r="G15" s="206"/>
      <c r="H15" s="206"/>
      <c r="I15" s="206"/>
      <c r="J15" s="207"/>
    </row>
    <row r="16" spans="1:14" s="17" customFormat="1" ht="15.75" x14ac:dyDescent="0.25">
      <c r="A16" s="185" t="s">
        <v>9</v>
      </c>
      <c r="B16" s="186"/>
      <c r="C16" s="186"/>
      <c r="D16" s="186"/>
      <c r="E16" s="48">
        <f>SUM(E17)</f>
        <v>2269237.38</v>
      </c>
      <c r="F16" s="190" t="s">
        <v>10</v>
      </c>
      <c r="G16" s="191"/>
      <c r="H16" s="191"/>
      <c r="I16" s="191"/>
      <c r="J16" s="42">
        <f>SUM(J17+J18)</f>
        <v>1582497.48</v>
      </c>
    </row>
    <row r="17" spans="1:10" ht="15.75" x14ac:dyDescent="0.25">
      <c r="A17" s="55"/>
      <c r="B17" s="180" t="s">
        <v>11</v>
      </c>
      <c r="C17" s="180"/>
      <c r="D17" s="180"/>
      <c r="E17" s="49">
        <v>2269237.38</v>
      </c>
      <c r="F17" s="75"/>
      <c r="G17" s="69" t="s">
        <v>12</v>
      </c>
      <c r="H17" s="29" t="s">
        <v>63</v>
      </c>
      <c r="I17" s="29"/>
      <c r="J17" s="43">
        <v>1268964.8899999999</v>
      </c>
    </row>
    <row r="18" spans="1:10" ht="15.75" x14ac:dyDescent="0.25">
      <c r="A18" s="55"/>
      <c r="B18" s="72"/>
      <c r="C18" s="72"/>
      <c r="D18" s="72"/>
      <c r="E18" s="49"/>
      <c r="F18" s="75"/>
      <c r="G18" s="69"/>
      <c r="H18" s="69" t="s">
        <v>12</v>
      </c>
      <c r="I18" s="29"/>
      <c r="J18" s="43">
        <v>313532.59000000003</v>
      </c>
    </row>
    <row r="19" spans="1:10" ht="15.75" x14ac:dyDescent="0.25">
      <c r="A19" s="185" t="s">
        <v>13</v>
      </c>
      <c r="B19" s="186"/>
      <c r="C19" s="186"/>
      <c r="D19" s="186"/>
      <c r="E19" s="48">
        <f>SUM(E20)</f>
        <v>67310536.75</v>
      </c>
      <c r="F19" s="75"/>
      <c r="G19" s="70"/>
      <c r="H19" s="69"/>
      <c r="I19" s="70"/>
      <c r="J19" s="43"/>
    </row>
    <row r="20" spans="1:10" ht="15.75" x14ac:dyDescent="0.25">
      <c r="A20" s="55"/>
      <c r="B20" s="180" t="s">
        <v>14</v>
      </c>
      <c r="C20" s="180"/>
      <c r="D20" s="180"/>
      <c r="E20" s="49">
        <v>67310536.75</v>
      </c>
      <c r="F20" s="190" t="s">
        <v>15</v>
      </c>
      <c r="G20" s="191"/>
      <c r="H20" s="191"/>
      <c r="I20" s="191"/>
      <c r="J20" s="42">
        <f>SUM(J21:J23)</f>
        <v>8354587.0899999999</v>
      </c>
    </row>
    <row r="21" spans="1:10" ht="15.75" x14ac:dyDescent="0.25">
      <c r="A21" s="55"/>
      <c r="B21" s="182"/>
      <c r="C21" s="182"/>
      <c r="D21" s="182"/>
      <c r="E21" s="48"/>
      <c r="F21" s="44"/>
      <c r="G21" s="192" t="s">
        <v>16</v>
      </c>
      <c r="H21" s="192"/>
      <c r="I21" s="192"/>
      <c r="J21" s="43">
        <v>1922631.44</v>
      </c>
    </row>
    <row r="22" spans="1:10" ht="15.75" x14ac:dyDescent="0.25">
      <c r="A22" s="185" t="s">
        <v>17</v>
      </c>
      <c r="B22" s="186"/>
      <c r="C22" s="186"/>
      <c r="D22" s="186"/>
      <c r="E22" s="48">
        <f>E23+E24+E25+E26</f>
        <v>30611832.16</v>
      </c>
      <c r="F22" s="44"/>
      <c r="G22" s="69" t="s">
        <v>18</v>
      </c>
      <c r="H22" s="69" t="s">
        <v>18</v>
      </c>
      <c r="I22" s="69"/>
      <c r="J22" s="43">
        <v>669577.99</v>
      </c>
    </row>
    <row r="23" spans="1:10" ht="15.75" x14ac:dyDescent="0.25">
      <c r="A23" s="55"/>
      <c r="B23" s="180" t="s">
        <v>19</v>
      </c>
      <c r="C23" s="180"/>
      <c r="D23" s="180"/>
      <c r="E23" s="49">
        <v>25960181.260000002</v>
      </c>
      <c r="F23" s="44"/>
      <c r="G23" s="69" t="s">
        <v>20</v>
      </c>
      <c r="H23" s="69" t="s">
        <v>20</v>
      </c>
      <c r="I23" s="69"/>
      <c r="J23" s="43">
        <f>34445.03+5727932.63</f>
        <v>5762377.6600000001</v>
      </c>
    </row>
    <row r="24" spans="1:10" ht="15.75" x14ac:dyDescent="0.25">
      <c r="A24" s="55"/>
      <c r="B24" s="187" t="s">
        <v>21</v>
      </c>
      <c r="C24" s="187"/>
      <c r="D24" s="187"/>
      <c r="E24" s="49">
        <f>7868031.29+1926080.41</f>
        <v>9794111.6999999993</v>
      </c>
      <c r="F24" s="44"/>
      <c r="G24" s="70"/>
      <c r="H24" s="69"/>
      <c r="I24" s="18"/>
      <c r="J24" s="43"/>
    </row>
    <row r="25" spans="1:10" ht="15.75" x14ac:dyDescent="0.25">
      <c r="A25" s="57"/>
      <c r="B25" s="187" t="s">
        <v>66</v>
      </c>
      <c r="C25" s="187"/>
      <c r="D25" s="187"/>
      <c r="E25" s="49">
        <v>43674.43</v>
      </c>
      <c r="F25" s="45"/>
      <c r="G25" s="68"/>
      <c r="H25" s="68"/>
      <c r="I25" s="68"/>
      <c r="J25" s="46"/>
    </row>
    <row r="26" spans="1:10" ht="15.75" x14ac:dyDescent="0.25">
      <c r="A26" s="55"/>
      <c r="B26" s="187" t="s">
        <v>22</v>
      </c>
      <c r="C26" s="187"/>
      <c r="D26" s="187"/>
      <c r="E26" s="49">
        <v>-5186135.2300000004</v>
      </c>
      <c r="F26" s="45"/>
      <c r="G26" s="68"/>
      <c r="H26" s="68"/>
      <c r="I26" s="68"/>
      <c r="J26" s="46"/>
    </row>
    <row r="27" spans="1:10" ht="15.75" x14ac:dyDescent="0.25">
      <c r="A27" s="55"/>
      <c r="B27" s="18"/>
      <c r="C27" s="18"/>
      <c r="D27" s="33"/>
      <c r="E27" s="49"/>
      <c r="F27" s="45"/>
      <c r="G27" s="19"/>
      <c r="H27" s="19"/>
      <c r="I27" s="19"/>
      <c r="J27" s="46"/>
    </row>
    <row r="28" spans="1:10" ht="15.75" x14ac:dyDescent="0.25">
      <c r="A28" s="185" t="s">
        <v>23</v>
      </c>
      <c r="B28" s="186"/>
      <c r="C28" s="186"/>
      <c r="D28" s="186"/>
      <c r="E28" s="48">
        <f>E29</f>
        <v>16720792.129999999</v>
      </c>
      <c r="F28" s="47" t="s">
        <v>55</v>
      </c>
      <c r="G28" s="19"/>
      <c r="H28" s="19"/>
      <c r="I28" s="19"/>
      <c r="J28" s="46"/>
    </row>
    <row r="29" spans="1:10" ht="15.75" x14ac:dyDescent="0.25">
      <c r="A29" s="55"/>
      <c r="B29" s="187" t="s">
        <v>24</v>
      </c>
      <c r="C29" s="187"/>
      <c r="D29" s="187"/>
      <c r="E29" s="49">
        <f>20805587.54-4084795.41</f>
        <v>16720792.129999999</v>
      </c>
      <c r="F29" s="188" t="s">
        <v>25</v>
      </c>
      <c r="G29" s="189"/>
      <c r="H29" s="189"/>
      <c r="I29" s="189"/>
      <c r="J29" s="48">
        <f>J33</f>
        <v>15730042.42</v>
      </c>
    </row>
    <row r="30" spans="1:10" ht="15.75" x14ac:dyDescent="0.25">
      <c r="A30" s="55"/>
      <c r="B30" s="18"/>
      <c r="C30" s="18"/>
      <c r="D30" s="33"/>
      <c r="E30" s="49"/>
      <c r="F30" s="45"/>
      <c r="G30" s="19"/>
      <c r="H30" s="19"/>
      <c r="I30" s="19"/>
      <c r="J30" s="49"/>
    </row>
    <row r="31" spans="1:10" ht="15.75" hidden="1" x14ac:dyDescent="0.25">
      <c r="A31" s="185"/>
      <c r="B31" s="186"/>
      <c r="C31" s="186"/>
      <c r="D31" s="186"/>
      <c r="E31" s="48"/>
      <c r="F31" s="45"/>
      <c r="G31" s="19"/>
      <c r="H31" s="19"/>
      <c r="I31" s="19"/>
      <c r="J31" s="49"/>
    </row>
    <row r="32" spans="1:10" ht="15.75" hidden="1" x14ac:dyDescent="0.25">
      <c r="A32" s="56"/>
      <c r="B32" s="180"/>
      <c r="C32" s="180"/>
      <c r="D32" s="71"/>
      <c r="E32" s="63"/>
      <c r="F32" s="64"/>
      <c r="G32" s="65"/>
      <c r="H32" s="65"/>
      <c r="I32" s="65"/>
      <c r="J32" s="63"/>
    </row>
    <row r="33" spans="1:15" ht="15.75" x14ac:dyDescent="0.25">
      <c r="A33" s="56"/>
      <c r="B33" s="180"/>
      <c r="C33" s="180"/>
      <c r="D33" s="71"/>
      <c r="E33" s="63"/>
      <c r="F33" s="188" t="s">
        <v>10</v>
      </c>
      <c r="G33" s="189"/>
      <c r="H33" s="189"/>
      <c r="I33" s="189"/>
      <c r="J33" s="48">
        <f>SUM(J34+J35)</f>
        <v>15730042.42</v>
      </c>
    </row>
    <row r="34" spans="1:15" ht="15.75" x14ac:dyDescent="0.25">
      <c r="A34" s="55"/>
      <c r="B34" s="18"/>
      <c r="C34" s="73"/>
      <c r="D34" s="73"/>
      <c r="E34" s="49"/>
      <c r="F34" s="45"/>
      <c r="G34" s="19" t="s">
        <v>57</v>
      </c>
      <c r="H34" s="19" t="s">
        <v>57</v>
      </c>
      <c r="I34" s="19"/>
      <c r="J34" s="49">
        <v>13176434.33</v>
      </c>
    </row>
    <row r="35" spans="1:15" ht="15.75" x14ac:dyDescent="0.25">
      <c r="A35" s="185" t="s">
        <v>26</v>
      </c>
      <c r="B35" s="186"/>
      <c r="C35" s="186"/>
      <c r="D35" s="186"/>
      <c r="E35" s="48">
        <f>E36</f>
        <v>329519.52</v>
      </c>
      <c r="F35" s="64"/>
      <c r="G35" s="65"/>
      <c r="H35" s="19" t="s">
        <v>12</v>
      </c>
      <c r="I35" s="19"/>
      <c r="J35" s="49">
        <v>2553608.09</v>
      </c>
    </row>
    <row r="36" spans="1:15" ht="15.75" x14ac:dyDescent="0.25">
      <c r="A36" s="55"/>
      <c r="B36" s="187" t="s">
        <v>27</v>
      </c>
      <c r="C36" s="187"/>
      <c r="D36" s="187"/>
      <c r="E36" s="49">
        <v>329519.52</v>
      </c>
      <c r="F36" s="45"/>
      <c r="G36" s="19"/>
      <c r="H36" s="19"/>
      <c r="I36" s="19"/>
      <c r="J36" s="46"/>
    </row>
    <row r="37" spans="1:15" ht="15.75" x14ac:dyDescent="0.25">
      <c r="A37" s="55"/>
      <c r="B37" s="73"/>
      <c r="C37" s="73"/>
      <c r="D37" s="73"/>
      <c r="E37" s="49"/>
      <c r="F37" s="45"/>
      <c r="G37" s="19"/>
      <c r="H37" s="19"/>
      <c r="I37" s="19"/>
      <c r="J37" s="46"/>
    </row>
    <row r="38" spans="1:15" ht="15.75" x14ac:dyDescent="0.25">
      <c r="A38" s="57" t="s">
        <v>55</v>
      </c>
      <c r="B38" s="73"/>
      <c r="C38" s="73"/>
      <c r="D38" s="73"/>
      <c r="E38" s="49"/>
      <c r="F38" s="45"/>
      <c r="G38" s="19"/>
      <c r="H38" s="19"/>
      <c r="I38" s="19"/>
      <c r="J38" s="46"/>
    </row>
    <row r="39" spans="1:15" ht="15.75" x14ac:dyDescent="0.25">
      <c r="A39" s="58" t="s">
        <v>28</v>
      </c>
      <c r="B39" s="18"/>
      <c r="C39" s="18"/>
      <c r="D39" s="33"/>
      <c r="E39" s="48">
        <f>E41+E50</f>
        <v>42672624.670000002</v>
      </c>
      <c r="F39" s="183" t="s">
        <v>29</v>
      </c>
      <c r="G39" s="184"/>
      <c r="H39" s="184"/>
      <c r="I39" s="19"/>
      <c r="J39" s="48">
        <f>SUM(J40:J42)</f>
        <v>140691329.16</v>
      </c>
    </row>
    <row r="40" spans="1:15" ht="15.75" x14ac:dyDescent="0.25">
      <c r="A40" s="59"/>
      <c r="B40" s="18"/>
      <c r="C40" s="18"/>
      <c r="D40" s="33"/>
      <c r="E40" s="48"/>
      <c r="F40" s="45"/>
      <c r="G40" s="179" t="s">
        <v>30</v>
      </c>
      <c r="H40" s="179"/>
      <c r="I40" s="179"/>
      <c r="J40" s="49">
        <v>133378731.77</v>
      </c>
    </row>
    <row r="41" spans="1:15" ht="15.75" x14ac:dyDescent="0.25">
      <c r="A41" s="185" t="s">
        <v>31</v>
      </c>
      <c r="B41" s="186"/>
      <c r="C41" s="186"/>
      <c r="D41" s="186"/>
      <c r="E41" s="48">
        <f>E42+E43+E44+E45</f>
        <v>38587829.260000005</v>
      </c>
      <c r="F41" s="45"/>
      <c r="G41" s="179" t="s">
        <v>32</v>
      </c>
      <c r="H41" s="179"/>
      <c r="I41" s="179"/>
      <c r="J41" s="49">
        <v>7312597.3899999997</v>
      </c>
    </row>
    <row r="42" spans="1:15" ht="15.75" x14ac:dyDescent="0.25">
      <c r="A42" s="57"/>
      <c r="B42" s="180" t="s">
        <v>19</v>
      </c>
      <c r="C42" s="180"/>
      <c r="D42" s="180"/>
      <c r="E42" s="49">
        <v>13498593.15</v>
      </c>
      <c r="F42" s="45"/>
      <c r="G42" s="179"/>
      <c r="H42" s="179"/>
      <c r="I42" s="179"/>
      <c r="J42" s="49"/>
    </row>
    <row r="43" spans="1:15" ht="15.75" x14ac:dyDescent="0.25">
      <c r="A43" s="57"/>
      <c r="B43" s="187" t="s">
        <v>21</v>
      </c>
      <c r="C43" s="187"/>
      <c r="D43" s="187"/>
      <c r="E43" s="49">
        <f>15494786.56+12011818.35</f>
        <v>27506604.91</v>
      </c>
      <c r="F43" s="45"/>
      <c r="G43" s="68"/>
      <c r="H43" s="68"/>
      <c r="I43" s="68"/>
      <c r="J43" s="46"/>
    </row>
    <row r="44" spans="1:15" ht="15.75" x14ac:dyDescent="0.25">
      <c r="A44" s="57"/>
      <c r="B44" s="187" t="s">
        <v>66</v>
      </c>
      <c r="C44" s="187"/>
      <c r="D44" s="187"/>
      <c r="E44" s="49">
        <v>611328.96</v>
      </c>
      <c r="F44" s="45"/>
      <c r="G44" s="68"/>
      <c r="H44" s="68"/>
      <c r="I44" s="68"/>
      <c r="J44" s="46"/>
    </row>
    <row r="45" spans="1:15" ht="15.75" x14ac:dyDescent="0.25">
      <c r="A45" s="57"/>
      <c r="B45" s="187" t="s">
        <v>22</v>
      </c>
      <c r="C45" s="187"/>
      <c r="D45" s="187"/>
      <c r="E45" s="49">
        <v>-3028697.76</v>
      </c>
      <c r="F45" s="45"/>
      <c r="G45" s="19"/>
      <c r="H45" s="19"/>
      <c r="I45" s="19"/>
      <c r="J45" s="50"/>
    </row>
    <row r="46" spans="1:15" ht="15" customHeight="1" x14ac:dyDescent="0.25">
      <c r="A46" s="185"/>
      <c r="B46" s="186"/>
      <c r="C46" s="186"/>
      <c r="D46" s="186"/>
      <c r="E46" s="48"/>
      <c r="F46" s="47" t="s">
        <v>33</v>
      </c>
      <c r="G46" s="77"/>
      <c r="H46" s="77"/>
      <c r="I46" s="77"/>
      <c r="J46" s="48">
        <f>SUM(J49:J54)</f>
        <v>87428.84</v>
      </c>
      <c r="K46" s="45"/>
      <c r="L46" s="19"/>
      <c r="M46" s="19"/>
      <c r="N46" s="19"/>
      <c r="O46" s="19"/>
    </row>
    <row r="47" spans="1:15" ht="15.75" hidden="1" customHeight="1" x14ac:dyDescent="0.25">
      <c r="A47" s="57"/>
      <c r="B47" s="187"/>
      <c r="C47" s="187"/>
      <c r="D47" s="187"/>
      <c r="E47" s="49"/>
      <c r="F47" s="45"/>
      <c r="G47" s="179" t="s">
        <v>34</v>
      </c>
      <c r="H47" s="179"/>
      <c r="I47" s="179"/>
      <c r="J47" s="49">
        <v>11155142.77</v>
      </c>
      <c r="K47" s="45"/>
      <c r="L47" s="179"/>
      <c r="M47" s="179"/>
      <c r="N47" s="179"/>
      <c r="O47" s="78"/>
    </row>
    <row r="48" spans="1:15" ht="15.75" hidden="1" customHeight="1" x14ac:dyDescent="0.25">
      <c r="A48" s="57"/>
      <c r="B48" s="73"/>
      <c r="C48" s="73"/>
      <c r="D48" s="73"/>
      <c r="E48" s="49"/>
      <c r="F48" s="45"/>
      <c r="G48" s="179" t="s">
        <v>35</v>
      </c>
      <c r="H48" s="179"/>
      <c r="I48" s="179"/>
      <c r="J48" s="49">
        <v>-10361959.039999999</v>
      </c>
      <c r="K48" s="45"/>
      <c r="L48" s="68"/>
      <c r="M48" s="68"/>
      <c r="N48" s="68"/>
      <c r="O48" s="78"/>
    </row>
    <row r="49" spans="1:15" ht="15.75" x14ac:dyDescent="0.25">
      <c r="A49" s="57"/>
      <c r="B49" s="187"/>
      <c r="C49" s="187"/>
      <c r="D49" s="187"/>
      <c r="E49" s="49"/>
      <c r="F49" s="45"/>
      <c r="G49" s="179" t="s">
        <v>34</v>
      </c>
      <c r="H49" s="179"/>
      <c r="I49" s="179"/>
      <c r="J49" s="49">
        <v>2841914.21</v>
      </c>
      <c r="K49" s="47"/>
      <c r="L49" s="77"/>
      <c r="M49" s="77"/>
      <c r="N49" s="77"/>
      <c r="O49" s="79"/>
    </row>
    <row r="50" spans="1:15" ht="15.75" x14ac:dyDescent="0.25">
      <c r="A50" s="185" t="s">
        <v>23</v>
      </c>
      <c r="B50" s="186"/>
      <c r="C50" s="186"/>
      <c r="D50" s="186"/>
      <c r="E50" s="48">
        <f>E51+E52</f>
        <v>4084795.41</v>
      </c>
      <c r="F50" s="45"/>
      <c r="G50" s="179" t="s">
        <v>73</v>
      </c>
      <c r="H50" s="179"/>
      <c r="I50" s="179"/>
      <c r="J50" s="49">
        <v>-2775939.96</v>
      </c>
      <c r="K50" s="45"/>
      <c r="L50" s="179"/>
      <c r="M50" s="179"/>
      <c r="N50" s="179"/>
      <c r="O50" s="80"/>
    </row>
    <row r="51" spans="1:15" ht="15.75" x14ac:dyDescent="0.25">
      <c r="A51" s="57"/>
      <c r="B51" s="187" t="s">
        <v>58</v>
      </c>
      <c r="C51" s="187"/>
      <c r="D51" s="187"/>
      <c r="E51" s="49">
        <v>4084795.41</v>
      </c>
      <c r="F51" s="45"/>
      <c r="G51" s="179" t="s">
        <v>36</v>
      </c>
      <c r="H51" s="179"/>
      <c r="I51" s="179"/>
      <c r="J51" s="49">
        <v>0</v>
      </c>
      <c r="K51" s="45"/>
      <c r="L51" s="179"/>
      <c r="M51" s="179"/>
      <c r="N51" s="179"/>
      <c r="O51" s="80"/>
    </row>
    <row r="52" spans="1:15" ht="15.75" x14ac:dyDescent="0.25">
      <c r="A52" s="57"/>
      <c r="B52" s="187"/>
      <c r="C52" s="187"/>
      <c r="D52" s="187"/>
      <c r="E52" s="49"/>
      <c r="F52" s="45"/>
      <c r="G52" s="179" t="s">
        <v>74</v>
      </c>
      <c r="H52" s="179"/>
      <c r="I52" s="179"/>
      <c r="J52" s="49">
        <v>-289.52999999999997</v>
      </c>
      <c r="K52" s="45"/>
      <c r="L52" s="179"/>
      <c r="M52" s="179"/>
      <c r="N52" s="179"/>
      <c r="O52" s="80"/>
    </row>
    <row r="53" spans="1:15" s="17" customFormat="1" ht="15.75" x14ac:dyDescent="0.25">
      <c r="A53" s="181" t="s">
        <v>37</v>
      </c>
      <c r="B53" s="182"/>
      <c r="C53" s="182"/>
      <c r="D53" s="182"/>
      <c r="E53" s="48">
        <f>SUM(E54+E58+E61+E64)</f>
        <v>6481736.79</v>
      </c>
      <c r="F53" s="45"/>
      <c r="G53" s="179" t="s">
        <v>38</v>
      </c>
      <c r="H53" s="179"/>
      <c r="I53" s="179"/>
      <c r="J53" s="49">
        <v>-31322.43</v>
      </c>
    </row>
    <row r="54" spans="1:15" ht="15.75" x14ac:dyDescent="0.25">
      <c r="A54" s="185" t="s">
        <v>67</v>
      </c>
      <c r="B54" s="186"/>
      <c r="C54" s="186"/>
      <c r="D54" s="186"/>
      <c r="E54" s="48">
        <f>E55+E56+E57</f>
        <v>4006538.7</v>
      </c>
      <c r="F54" s="45"/>
      <c r="G54" s="179" t="s">
        <v>39</v>
      </c>
      <c r="H54" s="179"/>
      <c r="I54" s="179"/>
      <c r="J54" s="49">
        <v>53066.55</v>
      </c>
    </row>
    <row r="55" spans="1:15" ht="15.75" x14ac:dyDescent="0.25">
      <c r="A55" s="55"/>
      <c r="B55" s="180" t="s">
        <v>68</v>
      </c>
      <c r="C55" s="180"/>
      <c r="D55" s="180"/>
      <c r="E55" s="49">
        <f>2421898</f>
        <v>2421898</v>
      </c>
      <c r="F55" s="45"/>
      <c r="G55" s="19"/>
      <c r="H55" s="19"/>
      <c r="I55" s="19"/>
      <c r="J55" s="46"/>
    </row>
    <row r="56" spans="1:15" ht="15.75" x14ac:dyDescent="0.25">
      <c r="A56" s="55"/>
      <c r="B56" s="180" t="s">
        <v>69</v>
      </c>
      <c r="C56" s="180"/>
      <c r="D56" s="180"/>
      <c r="E56" s="49">
        <v>1867365.74</v>
      </c>
      <c r="F56" s="45"/>
      <c r="G56" s="19"/>
      <c r="H56" s="19"/>
      <c r="I56" s="19"/>
      <c r="J56" s="46"/>
    </row>
    <row r="57" spans="1:15" ht="15.75" x14ac:dyDescent="0.25">
      <c r="A57" s="55"/>
      <c r="B57" s="180" t="s">
        <v>40</v>
      </c>
      <c r="C57" s="180"/>
      <c r="D57" s="180"/>
      <c r="E57" s="49">
        <f>-282725.04</f>
        <v>-282725.03999999998</v>
      </c>
      <c r="F57" s="45"/>
      <c r="G57" s="19"/>
      <c r="H57" s="19"/>
      <c r="I57" s="19"/>
      <c r="J57" s="46"/>
    </row>
    <row r="58" spans="1:15" ht="15.75" x14ac:dyDescent="0.25">
      <c r="A58" s="185" t="s">
        <v>70</v>
      </c>
      <c r="B58" s="186"/>
      <c r="C58" s="186"/>
      <c r="D58" s="186"/>
      <c r="E58" s="48">
        <f>E59+E60</f>
        <v>590608.5</v>
      </c>
      <c r="F58" s="45"/>
      <c r="G58" s="179"/>
      <c r="H58" s="179"/>
      <c r="I58" s="179"/>
      <c r="J58" s="49"/>
    </row>
    <row r="59" spans="1:15" ht="15.75" x14ac:dyDescent="0.25">
      <c r="A59" s="55"/>
      <c r="B59" s="180" t="s">
        <v>71</v>
      </c>
      <c r="C59" s="180"/>
      <c r="D59" s="180"/>
      <c r="E59" s="49">
        <v>1736321.02</v>
      </c>
      <c r="F59" s="45"/>
      <c r="G59" s="68"/>
      <c r="H59" s="68"/>
      <c r="I59" s="68"/>
      <c r="J59" s="46"/>
    </row>
    <row r="60" spans="1:15" ht="15.75" x14ac:dyDescent="0.25">
      <c r="A60" s="55"/>
      <c r="B60" s="180" t="s">
        <v>40</v>
      </c>
      <c r="C60" s="180"/>
      <c r="D60" s="180"/>
      <c r="E60" s="49">
        <v>-1145712.52</v>
      </c>
      <c r="F60" s="45"/>
      <c r="G60" s="68"/>
      <c r="H60" s="68"/>
      <c r="I60" s="68"/>
      <c r="J60" s="46"/>
    </row>
    <row r="61" spans="1:15" ht="15.75" x14ac:dyDescent="0.25">
      <c r="A61" s="185" t="s">
        <v>75</v>
      </c>
      <c r="B61" s="186"/>
      <c r="C61" s="186"/>
      <c r="D61" s="186"/>
      <c r="E61" s="48">
        <f>E62+E63</f>
        <v>1765.1000000000058</v>
      </c>
      <c r="F61" s="45"/>
      <c r="G61" s="19"/>
      <c r="H61" s="32"/>
      <c r="I61" s="19"/>
      <c r="J61" s="50"/>
    </row>
    <row r="62" spans="1:15" ht="15.75" x14ac:dyDescent="0.25">
      <c r="A62" s="55"/>
      <c r="B62" s="180" t="s">
        <v>42</v>
      </c>
      <c r="C62" s="180"/>
      <c r="D62" s="180"/>
      <c r="E62" s="49">
        <v>73327.8</v>
      </c>
      <c r="F62" s="45"/>
      <c r="G62" s="19"/>
      <c r="H62" s="19"/>
      <c r="I62" s="19"/>
      <c r="J62" s="50"/>
    </row>
    <row r="63" spans="1:15" ht="15.75" x14ac:dyDescent="0.25">
      <c r="A63" s="55"/>
      <c r="B63" s="180" t="s">
        <v>41</v>
      </c>
      <c r="C63" s="180"/>
      <c r="D63" s="180"/>
      <c r="E63" s="49">
        <v>-71562.7</v>
      </c>
      <c r="F63" s="45"/>
      <c r="G63" s="68"/>
      <c r="H63" s="68"/>
      <c r="I63" s="68"/>
      <c r="J63" s="46"/>
    </row>
    <row r="64" spans="1:15" ht="15.75" x14ac:dyDescent="0.25">
      <c r="A64" s="177" t="s">
        <v>76</v>
      </c>
      <c r="B64" s="178"/>
      <c r="C64" s="178"/>
      <c r="D64" s="178"/>
      <c r="E64" s="48">
        <f>E65+E66</f>
        <v>1882824.49</v>
      </c>
      <c r="F64" s="45"/>
      <c r="G64" s="68"/>
      <c r="H64" s="179"/>
      <c r="I64" s="179"/>
      <c r="J64" s="46"/>
    </row>
    <row r="65" spans="1:12" ht="15.75" x14ac:dyDescent="0.25">
      <c r="A65" s="55"/>
      <c r="B65" s="180" t="s">
        <v>56</v>
      </c>
      <c r="C65" s="180"/>
      <c r="D65" s="180"/>
      <c r="E65" s="49">
        <v>2319674.58</v>
      </c>
      <c r="F65" s="45"/>
      <c r="G65" s="68"/>
      <c r="H65" s="68"/>
      <c r="I65" s="68"/>
      <c r="J65" s="46"/>
    </row>
    <row r="66" spans="1:12" ht="15.75" x14ac:dyDescent="0.25">
      <c r="A66" s="55"/>
      <c r="B66" s="180" t="s">
        <v>41</v>
      </c>
      <c r="C66" s="180"/>
      <c r="D66" s="180"/>
      <c r="E66" s="49">
        <v>-436850.09</v>
      </c>
      <c r="F66" s="45"/>
      <c r="G66" s="68"/>
      <c r="H66" s="68"/>
      <c r="I66" s="68"/>
      <c r="J66" s="46"/>
    </row>
    <row r="67" spans="1:12" s="17" customFormat="1" ht="24" customHeight="1" x14ac:dyDescent="0.25">
      <c r="A67" s="181" t="s">
        <v>43</v>
      </c>
      <c r="B67" s="182"/>
      <c r="C67" s="182"/>
      <c r="D67" s="182"/>
      <c r="E67" s="48">
        <f>E53+E39+E12</f>
        <v>166445884.98999998</v>
      </c>
      <c r="F67" s="183" t="s">
        <v>44</v>
      </c>
      <c r="G67" s="184"/>
      <c r="H67" s="184"/>
      <c r="I67" s="184"/>
      <c r="J67" s="48">
        <f>J39+J12+J29+J46</f>
        <v>166445884.98999998</v>
      </c>
      <c r="L67" s="67"/>
    </row>
    <row r="68" spans="1:12" s="17" customFormat="1" ht="16.5" thickBot="1" x14ac:dyDescent="0.3">
      <c r="A68" s="60"/>
      <c r="B68" s="61"/>
      <c r="C68" s="61"/>
      <c r="D68" s="61"/>
      <c r="E68" s="62"/>
      <c r="F68" s="51"/>
      <c r="G68" s="52"/>
      <c r="H68" s="52"/>
      <c r="I68" s="52"/>
      <c r="J68" s="53"/>
    </row>
    <row r="69" spans="1:12" ht="21" customHeight="1" x14ac:dyDescent="0.2">
      <c r="A69" s="54"/>
      <c r="B69" s="35"/>
      <c r="C69" s="35"/>
      <c r="D69" s="35"/>
      <c r="E69" s="35"/>
      <c r="F69" s="35"/>
      <c r="G69" s="35"/>
      <c r="H69" s="35"/>
      <c r="I69" s="35"/>
      <c r="J69" s="36"/>
    </row>
    <row r="70" spans="1:12" ht="15.75" x14ac:dyDescent="0.2">
      <c r="A70" s="20"/>
      <c r="B70" s="21"/>
      <c r="C70" s="21"/>
      <c r="D70" s="21"/>
      <c r="E70" s="21"/>
      <c r="F70" s="21"/>
      <c r="G70" s="21"/>
      <c r="H70" s="21"/>
      <c r="I70" s="21"/>
      <c r="J70" s="22"/>
    </row>
    <row r="71" spans="1:12" ht="15.75" x14ac:dyDescent="0.2">
      <c r="A71" s="173" t="s">
        <v>45</v>
      </c>
      <c r="B71" s="174"/>
      <c r="C71" s="174"/>
      <c r="D71" s="174"/>
      <c r="E71" s="174"/>
      <c r="F71" s="174" t="s">
        <v>46</v>
      </c>
      <c r="G71" s="174"/>
      <c r="H71" s="174"/>
      <c r="I71" s="174"/>
      <c r="J71" s="175"/>
    </row>
    <row r="72" spans="1:12" ht="15.75" x14ac:dyDescent="0.25">
      <c r="A72" s="163" t="s">
        <v>61</v>
      </c>
      <c r="B72" s="164"/>
      <c r="C72" s="164"/>
      <c r="D72" s="164"/>
      <c r="E72" s="164"/>
      <c r="F72" s="176"/>
      <c r="G72" s="176"/>
      <c r="H72" s="176"/>
      <c r="I72" s="176"/>
      <c r="J72" s="23"/>
    </row>
    <row r="73" spans="1:12" ht="15.75" x14ac:dyDescent="0.25">
      <c r="A73" s="163" t="s">
        <v>59</v>
      </c>
      <c r="B73" s="164"/>
      <c r="C73" s="164"/>
      <c r="D73" s="164"/>
      <c r="E73" s="164"/>
      <c r="F73" s="164" t="s">
        <v>47</v>
      </c>
      <c r="G73" s="164"/>
      <c r="H73" s="164"/>
      <c r="I73" s="164"/>
      <c r="J73" s="165"/>
    </row>
    <row r="74" spans="1:12" ht="15.75" x14ac:dyDescent="0.25">
      <c r="A74" s="163" t="s">
        <v>62</v>
      </c>
      <c r="B74" s="164"/>
      <c r="C74" s="164"/>
      <c r="D74" s="164"/>
      <c r="E74" s="164"/>
      <c r="F74" s="164" t="s">
        <v>48</v>
      </c>
      <c r="G74" s="164"/>
      <c r="H74" s="164"/>
      <c r="I74" s="164"/>
      <c r="J74" s="165"/>
      <c r="K74" s="24"/>
    </row>
    <row r="75" spans="1:12" ht="15.75" x14ac:dyDescent="0.25">
      <c r="A75" s="163" t="s">
        <v>49</v>
      </c>
      <c r="B75" s="164"/>
      <c r="C75" s="164"/>
      <c r="D75" s="164"/>
      <c r="E75" s="164"/>
      <c r="F75" s="164" t="s">
        <v>50</v>
      </c>
      <c r="G75" s="164"/>
      <c r="H75" s="164"/>
      <c r="I75" s="164"/>
      <c r="J75" s="165"/>
    </row>
    <row r="76" spans="1:12" ht="15.75" x14ac:dyDescent="0.25">
      <c r="A76" s="163" t="s">
        <v>64</v>
      </c>
      <c r="B76" s="164"/>
      <c r="C76" s="164"/>
      <c r="D76" s="164"/>
      <c r="E76" s="164"/>
      <c r="F76" s="169"/>
      <c r="G76" s="169"/>
      <c r="H76" s="169"/>
      <c r="I76" s="169"/>
      <c r="J76" s="170"/>
    </row>
    <row r="77" spans="1:12" ht="15.75" x14ac:dyDescent="0.25">
      <c r="A77" s="163" t="s">
        <v>65</v>
      </c>
      <c r="B77" s="164"/>
      <c r="C77" s="164"/>
      <c r="D77" s="164"/>
      <c r="E77" s="164"/>
      <c r="F77" s="171" t="s">
        <v>51</v>
      </c>
      <c r="G77" s="171"/>
      <c r="H77" s="171"/>
      <c r="I77" s="171"/>
      <c r="J77" s="172"/>
    </row>
    <row r="78" spans="1:12" ht="15.75" x14ac:dyDescent="0.25">
      <c r="A78" s="163" t="s">
        <v>60</v>
      </c>
      <c r="B78" s="164"/>
      <c r="C78" s="164"/>
      <c r="D78" s="164"/>
      <c r="E78" s="164"/>
      <c r="F78" s="164" t="s">
        <v>52</v>
      </c>
      <c r="G78" s="164"/>
      <c r="H78" s="164"/>
      <c r="I78" s="164"/>
      <c r="J78" s="165"/>
    </row>
    <row r="79" spans="1:12" ht="16.5" thickBot="1" x14ac:dyDescent="0.3">
      <c r="A79" s="166" t="s">
        <v>53</v>
      </c>
      <c r="B79" s="167"/>
      <c r="C79" s="167"/>
      <c r="D79" s="167"/>
      <c r="E79" s="167"/>
      <c r="F79" s="167" t="s">
        <v>54</v>
      </c>
      <c r="G79" s="167"/>
      <c r="H79" s="167"/>
      <c r="I79" s="167"/>
      <c r="J79" s="168"/>
    </row>
    <row r="80" spans="1:12" ht="13.5" thickTop="1" x14ac:dyDescent="0.2"/>
    <row r="81" spans="1: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4" spans="1:10" x14ac:dyDescent="0.2">
      <c r="F84" s="27"/>
    </row>
    <row r="86" spans="1:10" x14ac:dyDescent="0.2">
      <c r="J86" s="28"/>
    </row>
  </sheetData>
  <mergeCells count="96">
    <mergeCell ref="A16:D16"/>
    <mergeCell ref="F16:I16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L47:N47"/>
    <mergeCell ref="B49:D49"/>
    <mergeCell ref="A50:D50"/>
    <mergeCell ref="L50:N50"/>
    <mergeCell ref="B51:D51"/>
    <mergeCell ref="L51:N51"/>
    <mergeCell ref="G47:I47"/>
    <mergeCell ref="G48:I48"/>
    <mergeCell ref="G49:I49"/>
    <mergeCell ref="G50:I50"/>
    <mergeCell ref="G51:I51"/>
    <mergeCell ref="B52:D52"/>
    <mergeCell ref="L52:N52"/>
    <mergeCell ref="A53:D53"/>
    <mergeCell ref="G53:I53"/>
    <mergeCell ref="A54:D54"/>
    <mergeCell ref="G54:I54"/>
    <mergeCell ref="G52:I52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O86"/>
  <sheetViews>
    <sheetView topLeftCell="C33" workbookViewId="0">
      <selection activeCell="J52" sqref="J52"/>
    </sheetView>
  </sheetViews>
  <sheetFormatPr defaultRowHeight="12.75" x14ac:dyDescent="0.2"/>
  <cols>
    <col min="1" max="1" width="4.85546875" style="5" customWidth="1"/>
    <col min="2" max="2" width="11.42578125" style="5" customWidth="1"/>
    <col min="3" max="3" width="10.85546875" style="5" customWidth="1"/>
    <col min="4" max="4" width="18.140625" style="7" customWidth="1"/>
    <col min="5" max="5" width="20.140625" style="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7" customWidth="1"/>
    <col min="10" max="10" width="27.5703125" style="25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4"/>
      <c r="E2" s="8" t="s">
        <v>0</v>
      </c>
      <c r="F2" s="9"/>
      <c r="G2" s="9"/>
      <c r="H2" s="9"/>
      <c r="I2" s="9"/>
      <c r="J2" s="10"/>
      <c r="K2" s="9"/>
      <c r="L2" s="9"/>
      <c r="M2" s="9"/>
      <c r="N2" s="9"/>
    </row>
    <row r="3" spans="1:14" x14ac:dyDescent="0.2">
      <c r="A3" s="6"/>
      <c r="E3" s="11" t="s">
        <v>1</v>
      </c>
      <c r="F3" s="12"/>
      <c r="G3" s="12"/>
      <c r="H3" s="12"/>
      <c r="I3" s="12"/>
      <c r="J3" s="13"/>
      <c r="K3" s="12"/>
      <c r="L3" s="12"/>
      <c r="M3" s="12"/>
      <c r="N3" s="12"/>
    </row>
    <row r="4" spans="1:14" x14ac:dyDescent="0.2">
      <c r="A4" s="6"/>
      <c r="B4" s="193"/>
      <c r="C4" s="193"/>
      <c r="D4" s="66"/>
      <c r="E4" s="11" t="s">
        <v>2</v>
      </c>
      <c r="F4" s="12"/>
      <c r="G4" s="12"/>
      <c r="H4" s="12"/>
      <c r="I4" s="12"/>
      <c r="J4" s="13"/>
      <c r="K4" s="12"/>
      <c r="L4" s="12"/>
      <c r="M4" s="12"/>
      <c r="N4" s="12"/>
    </row>
    <row r="5" spans="1:14" ht="15" x14ac:dyDescent="0.25">
      <c r="A5" s="14"/>
      <c r="B5" s="193"/>
      <c r="C5" s="193"/>
      <c r="D5" s="76"/>
      <c r="E5" s="11" t="s">
        <v>3</v>
      </c>
      <c r="F5" s="12"/>
      <c r="G5" s="12"/>
      <c r="H5" s="12"/>
      <c r="I5" s="12"/>
      <c r="J5" s="13"/>
      <c r="K5" s="12"/>
      <c r="L5" s="12"/>
      <c r="M5" s="12"/>
      <c r="N5" s="12"/>
    </row>
    <row r="6" spans="1:14" ht="15.75" customHeight="1" x14ac:dyDescent="0.2">
      <c r="A6" s="194"/>
      <c r="B6" s="195"/>
      <c r="C6" s="195"/>
      <c r="D6" s="195"/>
      <c r="E6" s="195"/>
      <c r="J6" s="15"/>
    </row>
    <row r="7" spans="1:14" ht="24" customHeight="1" x14ac:dyDescent="0.2">
      <c r="A7" s="30"/>
      <c r="B7" s="31"/>
      <c r="C7" s="31"/>
      <c r="D7" s="31"/>
      <c r="E7" s="31"/>
      <c r="J7" s="15"/>
    </row>
    <row r="8" spans="1:14" ht="20.25" customHeight="1" x14ac:dyDescent="0.2">
      <c r="A8" s="196" t="s">
        <v>78</v>
      </c>
      <c r="B8" s="197"/>
      <c r="C8" s="197"/>
      <c r="D8" s="197"/>
      <c r="E8" s="197"/>
      <c r="F8" s="197"/>
      <c r="G8" s="197"/>
      <c r="H8" s="197"/>
      <c r="I8" s="197"/>
      <c r="J8" s="198"/>
    </row>
    <row r="9" spans="1:14" ht="15" customHeight="1" thickBot="1" x14ac:dyDescent="0.25">
      <c r="A9" s="196"/>
      <c r="B9" s="197"/>
      <c r="C9" s="197"/>
      <c r="D9" s="197"/>
      <c r="E9" s="197"/>
      <c r="F9" s="197"/>
      <c r="G9" s="197"/>
      <c r="H9" s="197"/>
      <c r="I9" s="197"/>
      <c r="J9" s="198"/>
    </row>
    <row r="10" spans="1:14" s="16" customFormat="1" ht="25.5" customHeight="1" thickBot="1" x14ac:dyDescent="0.35">
      <c r="A10" s="199" t="s">
        <v>4</v>
      </c>
      <c r="B10" s="200"/>
      <c r="C10" s="200"/>
      <c r="D10" s="200"/>
      <c r="E10" s="200"/>
      <c r="F10" s="199" t="s">
        <v>5</v>
      </c>
      <c r="G10" s="200"/>
      <c r="H10" s="200"/>
      <c r="I10" s="200"/>
      <c r="J10" s="201"/>
    </row>
    <row r="11" spans="1:14" s="16" customFormat="1" ht="19.5" customHeight="1" x14ac:dyDescent="0.25">
      <c r="A11" s="37"/>
      <c r="B11" s="38"/>
      <c r="C11" s="38"/>
      <c r="D11" s="38"/>
      <c r="E11" s="39"/>
      <c r="F11" s="37"/>
      <c r="G11" s="38"/>
      <c r="H11" s="38"/>
      <c r="I11" s="38"/>
      <c r="J11" s="39"/>
    </row>
    <row r="12" spans="1:14" s="17" customFormat="1" ht="15.75" x14ac:dyDescent="0.25">
      <c r="A12" s="181" t="s">
        <v>6</v>
      </c>
      <c r="B12" s="182"/>
      <c r="C12" s="182"/>
      <c r="D12" s="182"/>
      <c r="E12" s="48">
        <f>SUM(E14+E16+E19+E22+E28+E31+E35)</f>
        <v>114629788.05</v>
      </c>
      <c r="F12" s="202" t="s">
        <v>7</v>
      </c>
      <c r="G12" s="203"/>
      <c r="H12" s="203"/>
      <c r="I12" s="203"/>
      <c r="J12" s="40">
        <f>J16+J20</f>
        <v>10476096.57</v>
      </c>
    </row>
    <row r="13" spans="1:14" s="17" customFormat="1" ht="15.75" x14ac:dyDescent="0.25">
      <c r="A13" s="74"/>
      <c r="B13" s="72"/>
      <c r="C13" s="72"/>
      <c r="D13" s="72"/>
      <c r="E13" s="49"/>
      <c r="F13" s="75"/>
      <c r="G13" s="70"/>
      <c r="H13" s="70"/>
      <c r="I13" s="70"/>
      <c r="J13" s="41"/>
    </row>
    <row r="14" spans="1:14" s="17" customFormat="1" ht="15.75" x14ac:dyDescent="0.25">
      <c r="A14" s="185" t="s">
        <v>8</v>
      </c>
      <c r="B14" s="186"/>
      <c r="C14" s="186"/>
      <c r="D14" s="186"/>
      <c r="E14" s="49">
        <v>48647.4</v>
      </c>
      <c r="F14" s="75"/>
      <c r="G14" s="204"/>
      <c r="H14" s="204"/>
      <c r="I14" s="204"/>
      <c r="J14" s="41"/>
    </row>
    <row r="15" spans="1:14" s="17" customFormat="1" ht="15.75" x14ac:dyDescent="0.25">
      <c r="A15" s="55"/>
      <c r="B15" s="72"/>
      <c r="C15" s="72"/>
      <c r="D15" s="72"/>
      <c r="E15" s="49"/>
      <c r="F15" s="205"/>
      <c r="G15" s="206"/>
      <c r="H15" s="206"/>
      <c r="I15" s="206"/>
      <c r="J15" s="207"/>
    </row>
    <row r="16" spans="1:14" s="17" customFormat="1" ht="15.75" x14ac:dyDescent="0.25">
      <c r="A16" s="185" t="s">
        <v>9</v>
      </c>
      <c r="B16" s="186"/>
      <c r="C16" s="186"/>
      <c r="D16" s="186"/>
      <c r="E16" s="48">
        <f>SUM(E17)</f>
        <v>0.02</v>
      </c>
      <c r="F16" s="190" t="s">
        <v>10</v>
      </c>
      <c r="G16" s="191"/>
      <c r="H16" s="191"/>
      <c r="I16" s="191"/>
      <c r="J16" s="42">
        <f>SUM(J17+J18)</f>
        <v>2601270.3199999998</v>
      </c>
    </row>
    <row r="17" spans="1:10" ht="15.75" x14ac:dyDescent="0.25">
      <c r="A17" s="55"/>
      <c r="B17" s="180" t="s">
        <v>11</v>
      </c>
      <c r="C17" s="180"/>
      <c r="D17" s="180"/>
      <c r="E17" s="49">
        <v>0.02</v>
      </c>
      <c r="F17" s="75"/>
      <c r="G17" s="69" t="s">
        <v>12</v>
      </c>
      <c r="H17" s="29" t="s">
        <v>63</v>
      </c>
      <c r="I17" s="29"/>
      <c r="J17" s="43">
        <v>2133278.7599999998</v>
      </c>
    </row>
    <row r="18" spans="1:10" ht="15.75" x14ac:dyDescent="0.25">
      <c r="A18" s="55"/>
      <c r="B18" s="72"/>
      <c r="C18" s="72"/>
      <c r="D18" s="72"/>
      <c r="E18" s="49"/>
      <c r="F18" s="75"/>
      <c r="G18" s="69"/>
      <c r="H18" s="69" t="s">
        <v>12</v>
      </c>
      <c r="I18" s="29"/>
      <c r="J18" s="43">
        <v>467991.56</v>
      </c>
    </row>
    <row r="19" spans="1:10" ht="15.75" x14ac:dyDescent="0.25">
      <c r="A19" s="185" t="s">
        <v>13</v>
      </c>
      <c r="B19" s="186"/>
      <c r="C19" s="186"/>
      <c r="D19" s="186"/>
      <c r="E19" s="48">
        <f>SUM(E20)</f>
        <v>65966389.140000001</v>
      </c>
      <c r="F19" s="75"/>
      <c r="G19" s="70"/>
      <c r="H19" s="69"/>
      <c r="I19" s="70"/>
      <c r="J19" s="43"/>
    </row>
    <row r="20" spans="1:10" ht="15.75" x14ac:dyDescent="0.25">
      <c r="A20" s="55"/>
      <c r="B20" s="180" t="s">
        <v>14</v>
      </c>
      <c r="C20" s="180"/>
      <c r="D20" s="180"/>
      <c r="E20" s="49">
        <v>65966389.140000001</v>
      </c>
      <c r="F20" s="190" t="s">
        <v>15</v>
      </c>
      <c r="G20" s="191"/>
      <c r="H20" s="191"/>
      <c r="I20" s="191"/>
      <c r="J20" s="42">
        <f>SUM(J21:J23)</f>
        <v>7874826.25</v>
      </c>
    </row>
    <row r="21" spans="1:10" ht="15.75" x14ac:dyDescent="0.25">
      <c r="A21" s="55"/>
      <c r="B21" s="182"/>
      <c r="C21" s="182"/>
      <c r="D21" s="182"/>
      <c r="E21" s="48"/>
      <c r="F21" s="44"/>
      <c r="G21" s="192" t="s">
        <v>16</v>
      </c>
      <c r="H21" s="192"/>
      <c r="I21" s="192"/>
      <c r="J21" s="43">
        <v>1922631.44</v>
      </c>
    </row>
    <row r="22" spans="1:10" ht="15.75" x14ac:dyDescent="0.25">
      <c r="A22" s="185" t="s">
        <v>17</v>
      </c>
      <c r="B22" s="186"/>
      <c r="C22" s="186"/>
      <c r="D22" s="186"/>
      <c r="E22" s="48">
        <f>E23+E24+E25+E26</f>
        <v>31054791.419999998</v>
      </c>
      <c r="F22" s="44"/>
      <c r="G22" s="69" t="s">
        <v>18</v>
      </c>
      <c r="H22" s="69" t="s">
        <v>18</v>
      </c>
      <c r="I22" s="69"/>
      <c r="J22" s="43">
        <v>726202.09</v>
      </c>
    </row>
    <row r="23" spans="1:10" ht="15.75" x14ac:dyDescent="0.25">
      <c r="A23" s="55"/>
      <c r="B23" s="180" t="s">
        <v>19</v>
      </c>
      <c r="C23" s="180"/>
      <c r="D23" s="180"/>
      <c r="E23" s="49">
        <v>25848981.539999999</v>
      </c>
      <c r="F23" s="44"/>
      <c r="G23" s="69" t="s">
        <v>20</v>
      </c>
      <c r="H23" s="69" t="s">
        <v>20</v>
      </c>
      <c r="I23" s="69"/>
      <c r="J23" s="43">
        <f>46503.56+5179489.16</f>
        <v>5225992.72</v>
      </c>
    </row>
    <row r="24" spans="1:10" ht="15.75" x14ac:dyDescent="0.25">
      <c r="A24" s="55"/>
      <c r="B24" s="187" t="s">
        <v>21</v>
      </c>
      <c r="C24" s="187"/>
      <c r="D24" s="187"/>
      <c r="E24" s="49">
        <f>8241619.07+1909362.68</f>
        <v>10150981.75</v>
      </c>
      <c r="F24" s="44"/>
      <c r="G24" s="70"/>
      <c r="H24" s="69"/>
      <c r="I24" s="18"/>
      <c r="J24" s="43"/>
    </row>
    <row r="25" spans="1:10" ht="15.75" x14ac:dyDescent="0.25">
      <c r="A25" s="57"/>
      <c r="B25" s="187" t="s">
        <v>66</v>
      </c>
      <c r="C25" s="187"/>
      <c r="D25" s="187"/>
      <c r="E25" s="49">
        <v>59127.97</v>
      </c>
      <c r="F25" s="45"/>
      <c r="G25" s="68"/>
      <c r="H25" s="68"/>
      <c r="I25" s="68"/>
      <c r="J25" s="46"/>
    </row>
    <row r="26" spans="1:10" ht="15.75" x14ac:dyDescent="0.25">
      <c r="A26" s="55"/>
      <c r="B26" s="187" t="s">
        <v>22</v>
      </c>
      <c r="C26" s="187"/>
      <c r="D26" s="187"/>
      <c r="E26" s="49">
        <v>-5004299.84</v>
      </c>
      <c r="F26" s="45"/>
      <c r="G26" s="68"/>
      <c r="H26" s="68"/>
      <c r="I26" s="68"/>
      <c r="J26" s="46"/>
    </row>
    <row r="27" spans="1:10" ht="15.75" x14ac:dyDescent="0.25">
      <c r="A27" s="55"/>
      <c r="B27" s="18"/>
      <c r="C27" s="18"/>
      <c r="D27" s="33"/>
      <c r="E27" s="49"/>
      <c r="F27" s="45"/>
      <c r="G27" s="19"/>
      <c r="H27" s="19"/>
      <c r="I27" s="19"/>
      <c r="J27" s="46"/>
    </row>
    <row r="28" spans="1:10" ht="15.75" x14ac:dyDescent="0.25">
      <c r="A28" s="185" t="s">
        <v>23</v>
      </c>
      <c r="B28" s="186"/>
      <c r="C28" s="186"/>
      <c r="D28" s="186"/>
      <c r="E28" s="48">
        <f>E29</f>
        <v>17227567.75</v>
      </c>
      <c r="F28" s="47" t="s">
        <v>55</v>
      </c>
      <c r="G28" s="19"/>
      <c r="H28" s="19"/>
      <c r="I28" s="19"/>
      <c r="J28" s="46"/>
    </row>
    <row r="29" spans="1:10" ht="15.75" x14ac:dyDescent="0.25">
      <c r="A29" s="55"/>
      <c r="B29" s="187" t="s">
        <v>24</v>
      </c>
      <c r="C29" s="187"/>
      <c r="D29" s="187"/>
      <c r="E29" s="49">
        <f>21723826.96-4496259.21</f>
        <v>17227567.75</v>
      </c>
      <c r="F29" s="188" t="s">
        <v>25</v>
      </c>
      <c r="G29" s="189"/>
      <c r="H29" s="189"/>
      <c r="I29" s="189"/>
      <c r="J29" s="48">
        <f>J33</f>
        <v>17704445.199999999</v>
      </c>
    </row>
    <row r="30" spans="1:10" ht="15.75" x14ac:dyDescent="0.25">
      <c r="A30" s="55"/>
      <c r="B30" s="18"/>
      <c r="C30" s="18"/>
      <c r="D30" s="33"/>
      <c r="E30" s="49"/>
      <c r="F30" s="45"/>
      <c r="G30" s="19"/>
      <c r="H30" s="19"/>
      <c r="I30" s="19"/>
      <c r="J30" s="49"/>
    </row>
    <row r="31" spans="1:10" ht="15.75" hidden="1" x14ac:dyDescent="0.25">
      <c r="A31" s="185"/>
      <c r="B31" s="186"/>
      <c r="C31" s="186"/>
      <c r="D31" s="186"/>
      <c r="E31" s="48"/>
      <c r="F31" s="45"/>
      <c r="G31" s="19"/>
      <c r="H31" s="19"/>
      <c r="I31" s="19"/>
      <c r="J31" s="49"/>
    </row>
    <row r="32" spans="1:10" ht="15.75" hidden="1" x14ac:dyDescent="0.25">
      <c r="A32" s="56"/>
      <c r="B32" s="180"/>
      <c r="C32" s="180"/>
      <c r="D32" s="71"/>
      <c r="E32" s="63"/>
      <c r="F32" s="64"/>
      <c r="G32" s="65"/>
      <c r="H32" s="65"/>
      <c r="I32" s="65"/>
      <c r="J32" s="63"/>
    </row>
    <row r="33" spans="1:15" ht="15.75" x14ac:dyDescent="0.25">
      <c r="A33" s="56"/>
      <c r="B33" s="180"/>
      <c r="C33" s="180"/>
      <c r="D33" s="71"/>
      <c r="E33" s="63"/>
      <c r="F33" s="188" t="s">
        <v>10</v>
      </c>
      <c r="G33" s="189"/>
      <c r="H33" s="189"/>
      <c r="I33" s="189"/>
      <c r="J33" s="48">
        <f>SUM(J34+J35)</f>
        <v>17704445.199999999</v>
      </c>
    </row>
    <row r="34" spans="1:15" ht="15.75" x14ac:dyDescent="0.25">
      <c r="A34" s="55"/>
      <c r="B34" s="18"/>
      <c r="C34" s="73"/>
      <c r="D34" s="73"/>
      <c r="E34" s="49"/>
      <c r="F34" s="45"/>
      <c r="G34" s="19" t="s">
        <v>57</v>
      </c>
      <c r="H34" s="19" t="s">
        <v>57</v>
      </c>
      <c r="I34" s="19"/>
      <c r="J34" s="49">
        <v>13664792.15</v>
      </c>
    </row>
    <row r="35" spans="1:15" ht="15.75" x14ac:dyDescent="0.25">
      <c r="A35" s="185" t="s">
        <v>26</v>
      </c>
      <c r="B35" s="186"/>
      <c r="C35" s="186"/>
      <c r="D35" s="186"/>
      <c r="E35" s="48">
        <f>E36</f>
        <v>332392.32000000001</v>
      </c>
      <c r="F35" s="64"/>
      <c r="G35" s="65"/>
      <c r="H35" s="19" t="s">
        <v>12</v>
      </c>
      <c r="I35" s="19"/>
      <c r="J35" s="49">
        <v>4039653.05</v>
      </c>
    </row>
    <row r="36" spans="1:15" ht="15.75" x14ac:dyDescent="0.25">
      <c r="A36" s="55"/>
      <c r="B36" s="187" t="s">
        <v>27</v>
      </c>
      <c r="C36" s="187"/>
      <c r="D36" s="187"/>
      <c r="E36" s="49">
        <v>332392.32000000001</v>
      </c>
      <c r="F36" s="45"/>
      <c r="G36" s="19"/>
      <c r="H36" s="19"/>
      <c r="I36" s="19"/>
      <c r="J36" s="46"/>
    </row>
    <row r="37" spans="1:15" ht="15.75" x14ac:dyDescent="0.25">
      <c r="A37" s="55"/>
      <c r="B37" s="73"/>
      <c r="C37" s="73"/>
      <c r="D37" s="73"/>
      <c r="E37" s="49"/>
      <c r="F37" s="45"/>
      <c r="G37" s="19"/>
      <c r="H37" s="19"/>
      <c r="I37" s="19"/>
      <c r="J37" s="46"/>
    </row>
    <row r="38" spans="1:15" ht="15.75" x14ac:dyDescent="0.25">
      <c r="A38" s="57" t="s">
        <v>55</v>
      </c>
      <c r="B38" s="73"/>
      <c r="C38" s="73"/>
      <c r="D38" s="73"/>
      <c r="E38" s="49"/>
      <c r="F38" s="45"/>
      <c r="G38" s="19"/>
      <c r="H38" s="19"/>
      <c r="I38" s="19"/>
      <c r="J38" s="46"/>
    </row>
    <row r="39" spans="1:15" ht="15.75" x14ac:dyDescent="0.25">
      <c r="A39" s="58" t="s">
        <v>28</v>
      </c>
      <c r="B39" s="18"/>
      <c r="C39" s="18"/>
      <c r="D39" s="33"/>
      <c r="E39" s="48">
        <f>E41+E50</f>
        <v>48311237.020000003</v>
      </c>
      <c r="F39" s="183" t="s">
        <v>29</v>
      </c>
      <c r="G39" s="184"/>
      <c r="H39" s="184"/>
      <c r="I39" s="19"/>
      <c r="J39" s="48">
        <f>SUM(J40:J42)</f>
        <v>140691329.16</v>
      </c>
    </row>
    <row r="40" spans="1:15" ht="15.75" x14ac:dyDescent="0.25">
      <c r="A40" s="59"/>
      <c r="B40" s="18"/>
      <c r="C40" s="18"/>
      <c r="D40" s="33"/>
      <c r="E40" s="48"/>
      <c r="F40" s="45"/>
      <c r="G40" s="179" t="s">
        <v>30</v>
      </c>
      <c r="H40" s="179"/>
      <c r="I40" s="179"/>
      <c r="J40" s="49">
        <v>133378731.77</v>
      </c>
    </row>
    <row r="41" spans="1:15" ht="15.75" x14ac:dyDescent="0.25">
      <c r="A41" s="185" t="s">
        <v>31</v>
      </c>
      <c r="B41" s="186"/>
      <c r="C41" s="186"/>
      <c r="D41" s="186"/>
      <c r="E41" s="48">
        <f>E42+E43+E44+E45</f>
        <v>43814977.810000002</v>
      </c>
      <c r="F41" s="45"/>
      <c r="G41" s="179" t="s">
        <v>32</v>
      </c>
      <c r="H41" s="179"/>
      <c r="I41" s="179"/>
      <c r="J41" s="49">
        <v>7312597.3899999997</v>
      </c>
    </row>
    <row r="42" spans="1:15" ht="15.75" x14ac:dyDescent="0.25">
      <c r="A42" s="57"/>
      <c r="B42" s="180" t="s">
        <v>19</v>
      </c>
      <c r="C42" s="180"/>
      <c r="D42" s="180"/>
      <c r="E42" s="49">
        <v>14013415.560000001</v>
      </c>
      <c r="F42" s="45"/>
      <c r="G42" s="179"/>
      <c r="H42" s="179"/>
      <c r="I42" s="179"/>
      <c r="J42" s="49"/>
    </row>
    <row r="43" spans="1:15" ht="15.75" x14ac:dyDescent="0.25">
      <c r="A43" s="57"/>
      <c r="B43" s="187" t="s">
        <v>21</v>
      </c>
      <c r="C43" s="187"/>
      <c r="D43" s="187"/>
      <c r="E43" s="49">
        <f>18527102.1+12770078.51</f>
        <v>31297180.609999999</v>
      </c>
      <c r="F43" s="45"/>
      <c r="G43" s="68"/>
      <c r="H43" s="68"/>
      <c r="I43" s="68"/>
      <c r="J43" s="46"/>
    </row>
    <row r="44" spans="1:15" ht="15.75" x14ac:dyDescent="0.25">
      <c r="A44" s="57"/>
      <c r="B44" s="187" t="s">
        <v>66</v>
      </c>
      <c r="C44" s="187"/>
      <c r="D44" s="187"/>
      <c r="E44" s="49">
        <v>1169638.82</v>
      </c>
      <c r="F44" s="45"/>
      <c r="G44" s="68"/>
      <c r="H44" s="68"/>
      <c r="I44" s="68"/>
      <c r="J44" s="46"/>
    </row>
    <row r="45" spans="1:15" ht="15.75" x14ac:dyDescent="0.25">
      <c r="A45" s="57"/>
      <c r="B45" s="187" t="s">
        <v>22</v>
      </c>
      <c r="C45" s="187"/>
      <c r="D45" s="187"/>
      <c r="E45" s="49">
        <v>-2665257.1800000002</v>
      </c>
      <c r="F45" s="45"/>
      <c r="G45" s="19"/>
      <c r="H45" s="19"/>
      <c r="I45" s="19"/>
      <c r="J45" s="50"/>
    </row>
    <row r="46" spans="1:15" ht="15" customHeight="1" x14ac:dyDescent="0.25">
      <c r="A46" s="185"/>
      <c r="B46" s="186"/>
      <c r="C46" s="186"/>
      <c r="D46" s="186"/>
      <c r="E46" s="48"/>
      <c r="F46" s="47" t="s">
        <v>33</v>
      </c>
      <c r="G46" s="77"/>
      <c r="H46" s="77"/>
      <c r="I46" s="77"/>
      <c r="J46" s="48">
        <f>SUM(J49:J54)</f>
        <v>517196.26000000024</v>
      </c>
      <c r="K46" s="45"/>
      <c r="L46" s="19"/>
      <c r="M46" s="19"/>
      <c r="N46" s="19"/>
      <c r="O46" s="19"/>
    </row>
    <row r="47" spans="1:15" ht="15.75" hidden="1" customHeight="1" x14ac:dyDescent="0.25">
      <c r="A47" s="57"/>
      <c r="B47" s="187"/>
      <c r="C47" s="187"/>
      <c r="D47" s="187"/>
      <c r="E47" s="49"/>
      <c r="F47" s="45"/>
      <c r="G47" s="179" t="s">
        <v>34</v>
      </c>
      <c r="H47" s="179"/>
      <c r="I47" s="179"/>
      <c r="J47" s="49">
        <v>11155142.77</v>
      </c>
      <c r="K47" s="45"/>
      <c r="L47" s="179"/>
      <c r="M47" s="179"/>
      <c r="N47" s="179"/>
      <c r="O47" s="78"/>
    </row>
    <row r="48" spans="1:15" ht="15.75" hidden="1" customHeight="1" x14ac:dyDescent="0.25">
      <c r="A48" s="57"/>
      <c r="B48" s="73"/>
      <c r="C48" s="73"/>
      <c r="D48" s="73"/>
      <c r="E48" s="49"/>
      <c r="F48" s="45"/>
      <c r="G48" s="179" t="s">
        <v>35</v>
      </c>
      <c r="H48" s="179"/>
      <c r="I48" s="179"/>
      <c r="J48" s="49">
        <v>-10361959.039999999</v>
      </c>
      <c r="K48" s="45"/>
      <c r="L48" s="68"/>
      <c r="M48" s="68"/>
      <c r="N48" s="68"/>
      <c r="O48" s="78"/>
    </row>
    <row r="49" spans="1:15" ht="15.75" x14ac:dyDescent="0.25">
      <c r="A49" s="57"/>
      <c r="B49" s="187"/>
      <c r="C49" s="187"/>
      <c r="D49" s="187"/>
      <c r="E49" s="49"/>
      <c r="F49" s="45"/>
      <c r="G49" s="179" t="s">
        <v>34</v>
      </c>
      <c r="H49" s="179"/>
      <c r="I49" s="179"/>
      <c r="J49" s="49">
        <v>4999497.8</v>
      </c>
      <c r="K49" s="47"/>
      <c r="L49" s="77"/>
      <c r="M49" s="77"/>
      <c r="N49" s="77"/>
      <c r="O49" s="79"/>
    </row>
    <row r="50" spans="1:15" ht="15.75" x14ac:dyDescent="0.25">
      <c r="A50" s="185" t="s">
        <v>23</v>
      </c>
      <c r="B50" s="186"/>
      <c r="C50" s="186"/>
      <c r="D50" s="186"/>
      <c r="E50" s="48">
        <f>E51+E52</f>
        <v>4496259.21</v>
      </c>
      <c r="F50" s="45"/>
      <c r="G50" s="179" t="s">
        <v>73</v>
      </c>
      <c r="H50" s="179"/>
      <c r="I50" s="179"/>
      <c r="J50" s="49">
        <v>-4640430.0599999996</v>
      </c>
      <c r="K50" s="45"/>
      <c r="L50" s="179"/>
      <c r="M50" s="179"/>
      <c r="N50" s="179"/>
      <c r="O50" s="80"/>
    </row>
    <row r="51" spans="1:15" ht="15.75" x14ac:dyDescent="0.25">
      <c r="A51" s="57"/>
      <c r="B51" s="187" t="s">
        <v>58</v>
      </c>
      <c r="C51" s="187"/>
      <c r="D51" s="187"/>
      <c r="E51" s="49">
        <v>4496259.21</v>
      </c>
      <c r="F51" s="45"/>
      <c r="G51" s="179" t="s">
        <v>36</v>
      </c>
      <c r="H51" s="179"/>
      <c r="I51" s="179"/>
      <c r="J51" s="49">
        <v>0</v>
      </c>
      <c r="K51" s="45"/>
      <c r="L51" s="179"/>
      <c r="M51" s="179"/>
      <c r="N51" s="179"/>
      <c r="O51" s="80"/>
    </row>
    <row r="52" spans="1:15" ht="15.75" x14ac:dyDescent="0.25">
      <c r="A52" s="57"/>
      <c r="B52" s="187"/>
      <c r="C52" s="187"/>
      <c r="D52" s="187"/>
      <c r="E52" s="49"/>
      <c r="F52" s="45"/>
      <c r="G52" s="179" t="s">
        <v>74</v>
      </c>
      <c r="H52" s="179"/>
      <c r="I52" s="179"/>
      <c r="J52" s="49">
        <v>-718.2</v>
      </c>
      <c r="K52" s="45"/>
      <c r="L52" s="179"/>
      <c r="M52" s="179"/>
      <c r="N52" s="179"/>
      <c r="O52" s="80"/>
    </row>
    <row r="53" spans="1:15" s="17" customFormat="1" ht="15.75" x14ac:dyDescent="0.25">
      <c r="A53" s="181" t="s">
        <v>37</v>
      </c>
      <c r="B53" s="182"/>
      <c r="C53" s="182"/>
      <c r="D53" s="182"/>
      <c r="E53" s="48">
        <f>SUM(E54+E58+E61+E64)</f>
        <v>6448042.120000001</v>
      </c>
      <c r="F53" s="45"/>
      <c r="G53" s="179" t="s">
        <v>38</v>
      </c>
      <c r="H53" s="179"/>
      <c r="I53" s="179"/>
      <c r="J53" s="49">
        <v>100779.2</v>
      </c>
    </row>
    <row r="54" spans="1:15" ht="15.75" x14ac:dyDescent="0.25">
      <c r="A54" s="185" t="s">
        <v>67</v>
      </c>
      <c r="B54" s="186"/>
      <c r="C54" s="186"/>
      <c r="D54" s="186"/>
      <c r="E54" s="48">
        <f>E55+E56+E57</f>
        <v>4000476.8400000003</v>
      </c>
      <c r="F54" s="45"/>
      <c r="G54" s="179" t="s">
        <v>39</v>
      </c>
      <c r="H54" s="179"/>
      <c r="I54" s="179"/>
      <c r="J54" s="49">
        <v>58067.519999999997</v>
      </c>
    </row>
    <row r="55" spans="1:15" ht="15.75" x14ac:dyDescent="0.25">
      <c r="A55" s="55"/>
      <c r="B55" s="180" t="s">
        <v>68</v>
      </c>
      <c r="C55" s="180"/>
      <c r="D55" s="180"/>
      <c r="E55" s="49">
        <f>2421898</f>
        <v>2421898</v>
      </c>
      <c r="F55" s="45"/>
      <c r="G55" s="19"/>
      <c r="H55" s="19"/>
      <c r="I55" s="19"/>
      <c r="J55" s="46"/>
    </row>
    <row r="56" spans="1:15" ht="15.75" x14ac:dyDescent="0.25">
      <c r="A56" s="55"/>
      <c r="B56" s="180" t="s">
        <v>69</v>
      </c>
      <c r="C56" s="180"/>
      <c r="D56" s="180"/>
      <c r="E56" s="49">
        <v>1867365.74</v>
      </c>
      <c r="F56" s="45"/>
      <c r="G56" s="19"/>
      <c r="H56" s="19"/>
      <c r="I56" s="19"/>
      <c r="J56" s="46"/>
    </row>
    <row r="57" spans="1:15" ht="15.75" x14ac:dyDescent="0.25">
      <c r="A57" s="55"/>
      <c r="B57" s="180" t="s">
        <v>40</v>
      </c>
      <c r="C57" s="180"/>
      <c r="D57" s="180"/>
      <c r="E57" s="49">
        <v>-288786.90000000002</v>
      </c>
      <c r="F57" s="45"/>
      <c r="G57" s="19"/>
      <c r="H57" s="19"/>
      <c r="I57" s="19"/>
      <c r="J57" s="46"/>
    </row>
    <row r="58" spans="1:15" ht="15.75" x14ac:dyDescent="0.25">
      <c r="A58" s="185" t="s">
        <v>70</v>
      </c>
      <c r="B58" s="186"/>
      <c r="C58" s="186"/>
      <c r="D58" s="186"/>
      <c r="E58" s="48">
        <f>E59+E60</f>
        <v>586075.18999999994</v>
      </c>
      <c r="F58" s="45"/>
      <c r="G58" s="179"/>
      <c r="H58" s="179"/>
      <c r="I58" s="179"/>
      <c r="J58" s="49"/>
    </row>
    <row r="59" spans="1:15" ht="15.75" x14ac:dyDescent="0.25">
      <c r="A59" s="55"/>
      <c r="B59" s="180" t="s">
        <v>71</v>
      </c>
      <c r="C59" s="180"/>
      <c r="D59" s="180"/>
      <c r="E59" s="49">
        <f>375729.22+61098.98+168275.1+4766.11+3051+46211.5+660540.56+39036.25+387021.3</f>
        <v>1745730.02</v>
      </c>
      <c r="F59" s="45"/>
      <c r="G59" s="68"/>
      <c r="H59" s="68"/>
      <c r="I59" s="68"/>
      <c r="J59" s="46"/>
    </row>
    <row r="60" spans="1:15" ht="15.75" x14ac:dyDescent="0.25">
      <c r="A60" s="55"/>
      <c r="B60" s="180" t="s">
        <v>40</v>
      </c>
      <c r="C60" s="180"/>
      <c r="D60" s="180"/>
      <c r="E60" s="49">
        <f>-779831.38-379823.45</f>
        <v>-1159654.83</v>
      </c>
      <c r="F60" s="45"/>
      <c r="G60" s="68"/>
      <c r="H60" s="68"/>
      <c r="I60" s="68"/>
      <c r="J60" s="46"/>
    </row>
    <row r="61" spans="1:15" ht="15.75" x14ac:dyDescent="0.25">
      <c r="A61" s="185" t="s">
        <v>75</v>
      </c>
      <c r="B61" s="186"/>
      <c r="C61" s="186"/>
      <c r="D61" s="186"/>
      <c r="E61" s="48">
        <f>E62+E63</f>
        <v>1758.6200000000099</v>
      </c>
      <c r="F61" s="45"/>
      <c r="G61" s="19"/>
      <c r="H61" s="32"/>
      <c r="I61" s="19"/>
      <c r="J61" s="50"/>
    </row>
    <row r="62" spans="1:15" ht="15.75" x14ac:dyDescent="0.25">
      <c r="A62" s="55"/>
      <c r="B62" s="180" t="s">
        <v>42</v>
      </c>
      <c r="C62" s="180"/>
      <c r="D62" s="180"/>
      <c r="E62" s="49">
        <v>73327.8</v>
      </c>
      <c r="F62" s="45"/>
      <c r="G62" s="19"/>
      <c r="H62" s="19"/>
      <c r="I62" s="19"/>
      <c r="J62" s="50"/>
    </row>
    <row r="63" spans="1:15" ht="15.75" x14ac:dyDescent="0.25">
      <c r="A63" s="55"/>
      <c r="B63" s="180" t="s">
        <v>41</v>
      </c>
      <c r="C63" s="180"/>
      <c r="D63" s="180"/>
      <c r="E63" s="49">
        <v>-71569.179999999993</v>
      </c>
      <c r="F63" s="45"/>
      <c r="G63" s="68"/>
      <c r="H63" s="68"/>
      <c r="I63" s="68"/>
      <c r="J63" s="46"/>
    </row>
    <row r="64" spans="1:15" ht="15.75" x14ac:dyDescent="0.25">
      <c r="A64" s="177" t="s">
        <v>76</v>
      </c>
      <c r="B64" s="178"/>
      <c r="C64" s="178"/>
      <c r="D64" s="178"/>
      <c r="E64" s="48">
        <f>E65+E66</f>
        <v>1859731.4700000002</v>
      </c>
      <c r="F64" s="45"/>
      <c r="G64" s="68"/>
      <c r="H64" s="179"/>
      <c r="I64" s="179"/>
      <c r="J64" s="46"/>
    </row>
    <row r="65" spans="1:12" ht="15.75" x14ac:dyDescent="0.25">
      <c r="A65" s="55"/>
      <c r="B65" s="180" t="s">
        <v>56</v>
      </c>
      <c r="C65" s="180"/>
      <c r="D65" s="180"/>
      <c r="E65" s="49">
        <f>2319674.58+10830</f>
        <v>2330504.58</v>
      </c>
      <c r="F65" s="45"/>
      <c r="G65" s="68"/>
      <c r="H65" s="68"/>
      <c r="I65" s="68"/>
      <c r="J65" s="46"/>
    </row>
    <row r="66" spans="1:12" ht="15.75" x14ac:dyDescent="0.25">
      <c r="A66" s="55"/>
      <c r="B66" s="180" t="s">
        <v>41</v>
      </c>
      <c r="C66" s="180"/>
      <c r="D66" s="180"/>
      <c r="E66" s="49">
        <v>-470773.11</v>
      </c>
      <c r="F66" s="45"/>
      <c r="G66" s="68"/>
      <c r="H66" s="68"/>
      <c r="I66" s="68"/>
      <c r="J66" s="46"/>
    </row>
    <row r="67" spans="1:12" s="17" customFormat="1" ht="24" customHeight="1" x14ac:dyDescent="0.25">
      <c r="A67" s="181" t="s">
        <v>43</v>
      </c>
      <c r="B67" s="182"/>
      <c r="C67" s="182"/>
      <c r="D67" s="182"/>
      <c r="E67" s="48">
        <f>E53+E39+E12</f>
        <v>169389067.19</v>
      </c>
      <c r="F67" s="183" t="s">
        <v>44</v>
      </c>
      <c r="G67" s="184"/>
      <c r="H67" s="184"/>
      <c r="I67" s="184"/>
      <c r="J67" s="48">
        <f>J39+J12+J29+J46</f>
        <v>169389067.18999997</v>
      </c>
      <c r="L67" s="67"/>
    </row>
    <row r="68" spans="1:12" s="17" customFormat="1" ht="16.5" thickBot="1" x14ac:dyDescent="0.3">
      <c r="A68" s="60"/>
      <c r="B68" s="61"/>
      <c r="C68" s="61"/>
      <c r="D68" s="61"/>
      <c r="E68" s="62"/>
      <c r="F68" s="51"/>
      <c r="G68" s="52"/>
      <c r="H68" s="52"/>
      <c r="I68" s="52"/>
      <c r="J68" s="53"/>
    </row>
    <row r="69" spans="1:12" ht="21" customHeight="1" x14ac:dyDescent="0.2">
      <c r="A69" s="54"/>
      <c r="B69" s="35"/>
      <c r="C69" s="35"/>
      <c r="D69" s="35"/>
      <c r="E69" s="35"/>
      <c r="F69" s="35"/>
      <c r="G69" s="35"/>
      <c r="H69" s="35"/>
      <c r="I69" s="35"/>
      <c r="J69" s="36"/>
    </row>
    <row r="70" spans="1:12" ht="15.75" x14ac:dyDescent="0.2">
      <c r="A70" s="20"/>
      <c r="B70" s="21"/>
      <c r="C70" s="21"/>
      <c r="D70" s="21"/>
      <c r="E70" s="21"/>
      <c r="F70" s="21"/>
      <c r="G70" s="21"/>
      <c r="H70" s="21"/>
      <c r="I70" s="21"/>
      <c r="J70" s="22"/>
    </row>
    <row r="71" spans="1:12" ht="15.75" x14ac:dyDescent="0.2">
      <c r="A71" s="173" t="s">
        <v>45</v>
      </c>
      <c r="B71" s="174"/>
      <c r="C71" s="174"/>
      <c r="D71" s="174"/>
      <c r="E71" s="174"/>
      <c r="F71" s="174" t="s">
        <v>46</v>
      </c>
      <c r="G71" s="174"/>
      <c r="H71" s="174"/>
      <c r="I71" s="174"/>
      <c r="J71" s="175"/>
    </row>
    <row r="72" spans="1:12" ht="15.75" x14ac:dyDescent="0.25">
      <c r="A72" s="163" t="s">
        <v>61</v>
      </c>
      <c r="B72" s="164"/>
      <c r="C72" s="164"/>
      <c r="D72" s="164"/>
      <c r="E72" s="164"/>
      <c r="F72" s="176"/>
      <c r="G72" s="176"/>
      <c r="H72" s="176"/>
      <c r="I72" s="176"/>
      <c r="J72" s="23"/>
    </row>
    <row r="73" spans="1:12" ht="15.75" x14ac:dyDescent="0.25">
      <c r="A73" s="163" t="s">
        <v>59</v>
      </c>
      <c r="B73" s="164"/>
      <c r="C73" s="164"/>
      <c r="D73" s="164"/>
      <c r="E73" s="164"/>
      <c r="F73" s="164" t="s">
        <v>47</v>
      </c>
      <c r="G73" s="164"/>
      <c r="H73" s="164"/>
      <c r="I73" s="164"/>
      <c r="J73" s="165"/>
    </row>
    <row r="74" spans="1:12" ht="15.75" x14ac:dyDescent="0.25">
      <c r="A74" s="163" t="s">
        <v>62</v>
      </c>
      <c r="B74" s="164"/>
      <c r="C74" s="164"/>
      <c r="D74" s="164"/>
      <c r="E74" s="164"/>
      <c r="F74" s="164" t="s">
        <v>48</v>
      </c>
      <c r="G74" s="164"/>
      <c r="H74" s="164"/>
      <c r="I74" s="164"/>
      <c r="J74" s="165"/>
      <c r="K74" s="24"/>
    </row>
    <row r="75" spans="1:12" ht="15.75" x14ac:dyDescent="0.25">
      <c r="A75" s="163" t="s">
        <v>49</v>
      </c>
      <c r="B75" s="164"/>
      <c r="C75" s="164"/>
      <c r="D75" s="164"/>
      <c r="E75" s="164"/>
      <c r="F75" s="164" t="s">
        <v>50</v>
      </c>
      <c r="G75" s="164"/>
      <c r="H75" s="164"/>
      <c r="I75" s="164"/>
      <c r="J75" s="165"/>
    </row>
    <row r="76" spans="1:12" ht="15.75" x14ac:dyDescent="0.25">
      <c r="A76" s="163" t="s">
        <v>64</v>
      </c>
      <c r="B76" s="164"/>
      <c r="C76" s="164"/>
      <c r="D76" s="164"/>
      <c r="E76" s="164"/>
      <c r="F76" s="169"/>
      <c r="G76" s="169"/>
      <c r="H76" s="169"/>
      <c r="I76" s="169"/>
      <c r="J76" s="170"/>
    </row>
    <row r="77" spans="1:12" ht="15.75" x14ac:dyDescent="0.25">
      <c r="A77" s="163" t="s">
        <v>65</v>
      </c>
      <c r="B77" s="164"/>
      <c r="C77" s="164"/>
      <c r="D77" s="164"/>
      <c r="E77" s="164"/>
      <c r="F77" s="171" t="s">
        <v>51</v>
      </c>
      <c r="G77" s="171"/>
      <c r="H77" s="171"/>
      <c r="I77" s="171"/>
      <c r="J77" s="172"/>
    </row>
    <row r="78" spans="1:12" ht="15.75" x14ac:dyDescent="0.25">
      <c r="A78" s="163" t="s">
        <v>60</v>
      </c>
      <c r="B78" s="164"/>
      <c r="C78" s="164"/>
      <c r="D78" s="164"/>
      <c r="E78" s="164"/>
      <c r="F78" s="164" t="s">
        <v>52</v>
      </c>
      <c r="G78" s="164"/>
      <c r="H78" s="164"/>
      <c r="I78" s="164"/>
      <c r="J78" s="165"/>
    </row>
    <row r="79" spans="1:12" ht="16.5" thickBot="1" x14ac:dyDescent="0.3">
      <c r="A79" s="166" t="s">
        <v>53</v>
      </c>
      <c r="B79" s="167"/>
      <c r="C79" s="167"/>
      <c r="D79" s="167"/>
      <c r="E79" s="167"/>
      <c r="F79" s="167" t="s">
        <v>54</v>
      </c>
      <c r="G79" s="167"/>
      <c r="H79" s="167"/>
      <c r="I79" s="167"/>
      <c r="J79" s="168"/>
    </row>
    <row r="80" spans="1:12" ht="13.5" thickTop="1" x14ac:dyDescent="0.2"/>
    <row r="81" spans="1: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4" spans="1:10" x14ac:dyDescent="0.2">
      <c r="F84" s="27"/>
    </row>
    <row r="86" spans="1:10" x14ac:dyDescent="0.2">
      <c r="J86" s="28"/>
    </row>
  </sheetData>
  <mergeCells count="96"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2:E72"/>
    <mergeCell ref="F72:I72"/>
    <mergeCell ref="A73:E73"/>
    <mergeCell ref="F73:J73"/>
    <mergeCell ref="A74:E74"/>
    <mergeCell ref="F74:J74"/>
    <mergeCell ref="B65:D65"/>
    <mergeCell ref="B66:D66"/>
    <mergeCell ref="A67:D67"/>
    <mergeCell ref="F67:I67"/>
    <mergeCell ref="A71:E71"/>
    <mergeCell ref="F71:J71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B47:D47"/>
    <mergeCell ref="G47:I47"/>
    <mergeCell ref="L47:N47"/>
    <mergeCell ref="G48:I48"/>
    <mergeCell ref="B49:D49"/>
    <mergeCell ref="G49:I49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29:D29"/>
    <mergeCell ref="F29:I29"/>
    <mergeCell ref="A31:D31"/>
    <mergeCell ref="B32:C32"/>
    <mergeCell ref="B33:C33"/>
    <mergeCell ref="F33:I33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O86"/>
  <sheetViews>
    <sheetView topLeftCell="A36" workbookViewId="0">
      <selection activeCell="E43" sqref="E43"/>
    </sheetView>
  </sheetViews>
  <sheetFormatPr defaultRowHeight="12.75" x14ac:dyDescent="0.2"/>
  <cols>
    <col min="1" max="1" width="4.85546875" style="5" customWidth="1"/>
    <col min="2" max="2" width="11.42578125" style="5" customWidth="1"/>
    <col min="3" max="3" width="10.85546875" style="5" customWidth="1"/>
    <col min="4" max="4" width="18.140625" style="7" customWidth="1"/>
    <col min="5" max="5" width="20.140625" style="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7" customWidth="1"/>
    <col min="10" max="10" width="27.5703125" style="25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4"/>
      <c r="E2" s="8" t="s">
        <v>0</v>
      </c>
      <c r="F2" s="9"/>
      <c r="G2" s="9"/>
      <c r="H2" s="9"/>
      <c r="I2" s="9"/>
      <c r="J2" s="10"/>
      <c r="K2" s="9"/>
      <c r="L2" s="9"/>
      <c r="M2" s="9"/>
      <c r="N2" s="9"/>
    </row>
    <row r="3" spans="1:14" x14ac:dyDescent="0.2">
      <c r="A3" s="6"/>
      <c r="E3" s="11" t="s">
        <v>1</v>
      </c>
      <c r="F3" s="12"/>
      <c r="G3" s="12"/>
      <c r="H3" s="12"/>
      <c r="I3" s="12"/>
      <c r="J3" s="13"/>
      <c r="K3" s="12"/>
      <c r="L3" s="12"/>
      <c r="M3" s="12"/>
      <c r="N3" s="12"/>
    </row>
    <row r="4" spans="1:14" x14ac:dyDescent="0.2">
      <c r="A4" s="6"/>
      <c r="B4" s="193"/>
      <c r="C4" s="193"/>
      <c r="D4" s="66"/>
      <c r="E4" s="11" t="s">
        <v>2</v>
      </c>
      <c r="F4" s="12"/>
      <c r="G4" s="12"/>
      <c r="H4" s="12"/>
      <c r="I4" s="12"/>
      <c r="J4" s="13"/>
      <c r="K4" s="12"/>
      <c r="L4" s="12"/>
      <c r="M4" s="12"/>
      <c r="N4" s="12"/>
    </row>
    <row r="5" spans="1:14" ht="15" x14ac:dyDescent="0.25">
      <c r="A5" s="14"/>
      <c r="B5" s="193"/>
      <c r="C5" s="193"/>
      <c r="D5" s="76"/>
      <c r="E5" s="11" t="s">
        <v>3</v>
      </c>
      <c r="F5" s="12"/>
      <c r="G5" s="12"/>
      <c r="H5" s="12"/>
      <c r="I5" s="12"/>
      <c r="J5" s="13"/>
      <c r="K5" s="12"/>
      <c r="L5" s="12"/>
      <c r="M5" s="12"/>
      <c r="N5" s="12"/>
    </row>
    <row r="6" spans="1:14" ht="15.75" customHeight="1" x14ac:dyDescent="0.2">
      <c r="A6" s="194"/>
      <c r="B6" s="195"/>
      <c r="C6" s="195"/>
      <c r="D6" s="195"/>
      <c r="E6" s="195"/>
      <c r="J6" s="15"/>
    </row>
    <row r="7" spans="1:14" ht="24" customHeight="1" x14ac:dyDescent="0.2">
      <c r="A7" s="30"/>
      <c r="B7" s="31"/>
      <c r="C7" s="31"/>
      <c r="D7" s="31"/>
      <c r="E7" s="31"/>
      <c r="J7" s="15"/>
    </row>
    <row r="8" spans="1:14" ht="20.25" customHeight="1" x14ac:dyDescent="0.2">
      <c r="A8" s="196" t="s">
        <v>77</v>
      </c>
      <c r="B8" s="197"/>
      <c r="C8" s="197"/>
      <c r="D8" s="197"/>
      <c r="E8" s="197"/>
      <c r="F8" s="197"/>
      <c r="G8" s="197"/>
      <c r="H8" s="197"/>
      <c r="I8" s="197"/>
      <c r="J8" s="198"/>
    </row>
    <row r="9" spans="1:14" ht="15" customHeight="1" thickBot="1" x14ac:dyDescent="0.25">
      <c r="A9" s="196"/>
      <c r="B9" s="197"/>
      <c r="C9" s="197"/>
      <c r="D9" s="197"/>
      <c r="E9" s="197"/>
      <c r="F9" s="197"/>
      <c r="G9" s="197"/>
      <c r="H9" s="197"/>
      <c r="I9" s="197"/>
      <c r="J9" s="198"/>
    </row>
    <row r="10" spans="1:14" s="16" customFormat="1" ht="25.5" customHeight="1" thickBot="1" x14ac:dyDescent="0.35">
      <c r="A10" s="199" t="s">
        <v>4</v>
      </c>
      <c r="B10" s="200"/>
      <c r="C10" s="200"/>
      <c r="D10" s="200"/>
      <c r="E10" s="200"/>
      <c r="F10" s="199" t="s">
        <v>5</v>
      </c>
      <c r="G10" s="200"/>
      <c r="H10" s="200"/>
      <c r="I10" s="200"/>
      <c r="J10" s="201"/>
    </row>
    <row r="11" spans="1:14" s="16" customFormat="1" ht="19.5" customHeight="1" x14ac:dyDescent="0.25">
      <c r="A11" s="37"/>
      <c r="B11" s="38"/>
      <c r="C11" s="38"/>
      <c r="D11" s="38"/>
      <c r="E11" s="39"/>
      <c r="F11" s="37"/>
      <c r="G11" s="38"/>
      <c r="H11" s="38"/>
      <c r="I11" s="38"/>
      <c r="J11" s="39"/>
    </row>
    <row r="12" spans="1:14" s="17" customFormat="1" ht="15.75" x14ac:dyDescent="0.25">
      <c r="A12" s="181" t="s">
        <v>6</v>
      </c>
      <c r="B12" s="182"/>
      <c r="C12" s="182"/>
      <c r="D12" s="182"/>
      <c r="E12" s="48">
        <f>SUM(E14+E16+E19+E22+E28+E31+E35)</f>
        <v>112608774.27</v>
      </c>
      <c r="F12" s="202" t="s">
        <v>7</v>
      </c>
      <c r="G12" s="203"/>
      <c r="H12" s="203"/>
      <c r="I12" s="203"/>
      <c r="J12" s="40">
        <f>J16+J20</f>
        <v>10171638.810000001</v>
      </c>
    </row>
    <row r="13" spans="1:14" s="17" customFormat="1" ht="15.75" x14ac:dyDescent="0.25">
      <c r="A13" s="74"/>
      <c r="B13" s="72"/>
      <c r="C13" s="72"/>
      <c r="D13" s="72"/>
      <c r="E13" s="49"/>
      <c r="F13" s="75"/>
      <c r="G13" s="70"/>
      <c r="H13" s="70"/>
      <c r="I13" s="70"/>
      <c r="J13" s="41"/>
    </row>
    <row r="14" spans="1:14" s="17" customFormat="1" ht="15.75" x14ac:dyDescent="0.25">
      <c r="A14" s="185" t="s">
        <v>8</v>
      </c>
      <c r="B14" s="186"/>
      <c r="C14" s="186"/>
      <c r="D14" s="186"/>
      <c r="E14" s="49">
        <v>38262.11</v>
      </c>
      <c r="F14" s="75"/>
      <c r="G14" s="204"/>
      <c r="H14" s="204"/>
      <c r="I14" s="204"/>
      <c r="J14" s="41"/>
    </row>
    <row r="15" spans="1:14" s="17" customFormat="1" ht="15.75" x14ac:dyDescent="0.25">
      <c r="A15" s="55"/>
      <c r="B15" s="72"/>
      <c r="C15" s="72"/>
      <c r="D15" s="72"/>
      <c r="E15" s="49"/>
      <c r="F15" s="205"/>
      <c r="G15" s="206"/>
      <c r="H15" s="206"/>
      <c r="I15" s="206"/>
      <c r="J15" s="207"/>
    </row>
    <row r="16" spans="1:14" s="17" customFormat="1" ht="15.75" x14ac:dyDescent="0.25">
      <c r="A16" s="185" t="s">
        <v>9</v>
      </c>
      <c r="B16" s="186"/>
      <c r="C16" s="186"/>
      <c r="D16" s="186"/>
      <c r="E16" s="48">
        <f>SUM(E17)</f>
        <v>16105886.15</v>
      </c>
      <c r="F16" s="190" t="s">
        <v>10</v>
      </c>
      <c r="G16" s="191"/>
      <c r="H16" s="191"/>
      <c r="I16" s="191"/>
      <c r="J16" s="42">
        <f>SUM(J17+J18)</f>
        <v>1934770.12</v>
      </c>
    </row>
    <row r="17" spans="1:12" ht="15.75" x14ac:dyDescent="0.25">
      <c r="A17" s="55"/>
      <c r="B17" s="180" t="s">
        <v>11</v>
      </c>
      <c r="C17" s="180"/>
      <c r="D17" s="180"/>
      <c r="E17" s="49">
        <v>16105886.15</v>
      </c>
      <c r="F17" s="75"/>
      <c r="G17" s="69" t="s">
        <v>12</v>
      </c>
      <c r="H17" s="29" t="s">
        <v>63</v>
      </c>
      <c r="I17" s="29"/>
      <c r="J17" s="49">
        <v>1448545.24</v>
      </c>
    </row>
    <row r="18" spans="1:12" ht="15.75" x14ac:dyDescent="0.25">
      <c r="A18" s="55"/>
      <c r="B18" s="72"/>
      <c r="C18" s="72"/>
      <c r="D18" s="72"/>
      <c r="E18" s="49"/>
      <c r="F18" s="75"/>
      <c r="G18" s="69"/>
      <c r="H18" s="69" t="s">
        <v>12</v>
      </c>
      <c r="I18" s="29"/>
      <c r="J18" s="49">
        <v>486224.88</v>
      </c>
    </row>
    <row r="19" spans="1:12" ht="15.75" x14ac:dyDescent="0.25">
      <c r="A19" s="185" t="s">
        <v>13</v>
      </c>
      <c r="B19" s="186"/>
      <c r="C19" s="186"/>
      <c r="D19" s="186"/>
      <c r="E19" s="48">
        <f>SUM(E20)</f>
        <v>44118081.119999997</v>
      </c>
      <c r="F19" s="75"/>
      <c r="G19" s="70"/>
      <c r="H19" s="69"/>
      <c r="I19" s="70"/>
      <c r="J19" s="43"/>
    </row>
    <row r="20" spans="1:12" ht="15.75" x14ac:dyDescent="0.25">
      <c r="A20" s="55"/>
      <c r="B20" s="180" t="s">
        <v>14</v>
      </c>
      <c r="C20" s="180"/>
      <c r="D20" s="180"/>
      <c r="E20" s="49">
        <v>44118081.119999997</v>
      </c>
      <c r="F20" s="190" t="s">
        <v>15</v>
      </c>
      <c r="G20" s="191"/>
      <c r="H20" s="191"/>
      <c r="I20" s="191"/>
      <c r="J20" s="42">
        <f>SUM(J21:J23)</f>
        <v>8236868.6900000004</v>
      </c>
    </row>
    <row r="21" spans="1:12" ht="15.75" x14ac:dyDescent="0.25">
      <c r="A21" s="55"/>
      <c r="B21" s="182"/>
      <c r="C21" s="182"/>
      <c r="D21" s="182"/>
      <c r="E21" s="48"/>
      <c r="F21" s="44"/>
      <c r="G21" s="192" t="s">
        <v>16</v>
      </c>
      <c r="H21" s="192"/>
      <c r="I21" s="192"/>
      <c r="J21" s="43">
        <v>1922631.44</v>
      </c>
    </row>
    <row r="22" spans="1:12" ht="15.75" x14ac:dyDescent="0.25">
      <c r="A22" s="185" t="s">
        <v>17</v>
      </c>
      <c r="B22" s="186"/>
      <c r="C22" s="186"/>
      <c r="D22" s="186"/>
      <c r="E22" s="82">
        <f>E23+E24+E25+E26</f>
        <v>34111113.420000002</v>
      </c>
      <c r="F22" s="44"/>
      <c r="G22" s="69" t="s">
        <v>18</v>
      </c>
      <c r="H22" s="69" t="s">
        <v>18</v>
      </c>
      <c r="I22" s="69"/>
      <c r="J22" s="43">
        <v>653932.49</v>
      </c>
    </row>
    <row r="23" spans="1:12" ht="15.75" x14ac:dyDescent="0.25">
      <c r="A23" s="55"/>
      <c r="B23" s="180" t="s">
        <v>19</v>
      </c>
      <c r="C23" s="180"/>
      <c r="D23" s="180"/>
      <c r="E23" s="83">
        <f>3352273.67+16211373.53+1560537.58+1132857.26+661960.7+353122.5+741650.92+2450503.81</f>
        <v>26464279.970000003</v>
      </c>
      <c r="F23" s="44"/>
      <c r="G23" s="69" t="s">
        <v>20</v>
      </c>
      <c r="H23" s="69" t="s">
        <v>20</v>
      </c>
      <c r="I23" s="69"/>
      <c r="J23" s="43">
        <f>37618.98+5622685.78</f>
        <v>5660304.7600000007</v>
      </c>
    </row>
    <row r="24" spans="1:12" ht="15.75" x14ac:dyDescent="0.25">
      <c r="A24" s="55"/>
      <c r="B24" s="187" t="s">
        <v>21</v>
      </c>
      <c r="C24" s="187"/>
      <c r="D24" s="187"/>
      <c r="E24" s="83">
        <f>2121643.08+5277911.68+1072683.11+798837.22+120890.46+58706.89+116906.47+613315.56+40191.16+391503.5+1438176.3+156639.4</f>
        <v>12207404.830000004</v>
      </c>
      <c r="F24" s="44"/>
      <c r="G24" s="70"/>
      <c r="H24" s="69"/>
      <c r="I24" s="18"/>
      <c r="J24" s="43"/>
    </row>
    <row r="25" spans="1:12" ht="15.75" x14ac:dyDescent="0.25">
      <c r="A25" s="57"/>
      <c r="B25" s="187" t="s">
        <v>66</v>
      </c>
      <c r="C25" s="187"/>
      <c r="D25" s="187"/>
      <c r="E25" s="83">
        <f>92420.32+31320.52</f>
        <v>123740.84000000001</v>
      </c>
      <c r="F25" s="45"/>
      <c r="G25" s="68"/>
      <c r="H25" s="68"/>
      <c r="I25" s="68"/>
      <c r="J25" s="46"/>
      <c r="L25" s="81"/>
    </row>
    <row r="26" spans="1:12" ht="15.75" x14ac:dyDescent="0.25">
      <c r="A26" s="55"/>
      <c r="B26" s="187" t="s">
        <v>22</v>
      </c>
      <c r="C26" s="187"/>
      <c r="D26" s="187"/>
      <c r="E26" s="83">
        <f>-(18747910.6-5448527.35-8615071.03)</f>
        <v>-4684312.2200000025</v>
      </c>
      <c r="F26" s="45"/>
      <c r="G26" s="68"/>
      <c r="H26" s="68"/>
      <c r="I26" s="68"/>
      <c r="J26" s="46"/>
    </row>
    <row r="27" spans="1:12" ht="15.75" x14ac:dyDescent="0.25">
      <c r="A27" s="55"/>
      <c r="B27" s="18"/>
      <c r="C27" s="18"/>
      <c r="D27" s="33"/>
      <c r="E27" s="49"/>
      <c r="F27" s="45"/>
      <c r="G27" s="19"/>
      <c r="H27" s="19"/>
      <c r="I27" s="19"/>
      <c r="J27" s="46"/>
    </row>
    <row r="28" spans="1:12" ht="15.75" x14ac:dyDescent="0.25">
      <c r="A28" s="185" t="s">
        <v>23</v>
      </c>
      <c r="B28" s="186"/>
      <c r="C28" s="186"/>
      <c r="D28" s="186"/>
      <c r="E28" s="48">
        <f>E29</f>
        <v>17907124.91</v>
      </c>
      <c r="F28" s="47" t="s">
        <v>55</v>
      </c>
      <c r="G28" s="19"/>
      <c r="H28" s="19"/>
      <c r="I28" s="19"/>
      <c r="J28" s="46"/>
    </row>
    <row r="29" spans="1:12" ht="15.75" x14ac:dyDescent="0.25">
      <c r="A29" s="55"/>
      <c r="B29" s="187" t="s">
        <v>24</v>
      </c>
      <c r="C29" s="187"/>
      <c r="D29" s="187"/>
      <c r="E29" s="49">
        <v>17907124.91</v>
      </c>
      <c r="F29" s="188" t="s">
        <v>25</v>
      </c>
      <c r="G29" s="189"/>
      <c r="H29" s="189"/>
      <c r="I29" s="189"/>
      <c r="J29" s="48">
        <f>J33</f>
        <v>19649416.100000001</v>
      </c>
    </row>
    <row r="30" spans="1:12" ht="15.75" x14ac:dyDescent="0.25">
      <c r="A30" s="55"/>
      <c r="B30" s="18"/>
      <c r="C30" s="18"/>
      <c r="D30" s="33"/>
      <c r="E30" s="49"/>
      <c r="F30" s="45"/>
      <c r="G30" s="19"/>
      <c r="H30" s="19"/>
      <c r="I30" s="19"/>
      <c r="J30" s="49"/>
    </row>
    <row r="31" spans="1:12" ht="15.75" hidden="1" x14ac:dyDescent="0.25">
      <c r="A31" s="185"/>
      <c r="B31" s="186"/>
      <c r="C31" s="186"/>
      <c r="D31" s="186"/>
      <c r="E31" s="48"/>
      <c r="F31" s="45"/>
      <c r="G31" s="19"/>
      <c r="H31" s="19"/>
      <c r="I31" s="19"/>
      <c r="J31" s="49"/>
    </row>
    <row r="32" spans="1:12" ht="15.75" hidden="1" x14ac:dyDescent="0.25">
      <c r="A32" s="56"/>
      <c r="B32" s="180"/>
      <c r="C32" s="180"/>
      <c r="D32" s="71"/>
      <c r="E32" s="63"/>
      <c r="F32" s="64"/>
      <c r="G32" s="65"/>
      <c r="H32" s="65"/>
      <c r="I32" s="65"/>
      <c r="J32" s="63"/>
    </row>
    <row r="33" spans="1:15" ht="15.75" x14ac:dyDescent="0.25">
      <c r="A33" s="56"/>
      <c r="B33" s="180"/>
      <c r="C33" s="180"/>
      <c r="D33" s="71"/>
      <c r="E33" s="63"/>
      <c r="F33" s="188" t="s">
        <v>10</v>
      </c>
      <c r="G33" s="189"/>
      <c r="H33" s="189"/>
      <c r="I33" s="189"/>
      <c r="J33" s="48">
        <f>SUM(J34+J35)</f>
        <v>19649416.100000001</v>
      </c>
    </row>
    <row r="34" spans="1:15" ht="15.75" x14ac:dyDescent="0.25">
      <c r="A34" s="55"/>
      <c r="B34" s="18"/>
      <c r="C34" s="73"/>
      <c r="D34" s="73"/>
      <c r="E34" s="49"/>
      <c r="F34" s="45"/>
      <c r="G34" s="19" t="s">
        <v>57</v>
      </c>
      <c r="H34" s="19" t="s">
        <v>57</v>
      </c>
      <c r="I34" s="19"/>
      <c r="J34" s="49">
        <v>15064914.109999999</v>
      </c>
    </row>
    <row r="35" spans="1:15" ht="15.75" x14ac:dyDescent="0.25">
      <c r="A35" s="185" t="s">
        <v>26</v>
      </c>
      <c r="B35" s="186"/>
      <c r="C35" s="186"/>
      <c r="D35" s="186"/>
      <c r="E35" s="48">
        <f>E36</f>
        <v>328306.56</v>
      </c>
      <c r="F35" s="64"/>
      <c r="G35" s="65"/>
      <c r="H35" s="19" t="s">
        <v>12</v>
      </c>
      <c r="I35" s="19"/>
      <c r="J35" s="49">
        <v>4584501.99</v>
      </c>
    </row>
    <row r="36" spans="1:15" ht="15.75" x14ac:dyDescent="0.25">
      <c r="A36" s="55"/>
      <c r="B36" s="187" t="s">
        <v>27</v>
      </c>
      <c r="C36" s="187"/>
      <c r="D36" s="187"/>
      <c r="E36" s="49">
        <v>328306.56</v>
      </c>
      <c r="F36" s="45"/>
      <c r="G36" s="19"/>
      <c r="H36" s="19"/>
      <c r="I36" s="19"/>
      <c r="J36" s="46"/>
    </row>
    <row r="37" spans="1:15" ht="15.75" x14ac:dyDescent="0.25">
      <c r="A37" s="55"/>
      <c r="B37" s="73"/>
      <c r="C37" s="73"/>
      <c r="D37" s="73"/>
      <c r="E37" s="49"/>
      <c r="F37" s="45"/>
      <c r="G37" s="19"/>
      <c r="H37" s="19"/>
      <c r="I37" s="19"/>
      <c r="J37" s="46"/>
    </row>
    <row r="38" spans="1:15" ht="15.75" x14ac:dyDescent="0.25">
      <c r="A38" s="57" t="s">
        <v>55</v>
      </c>
      <c r="B38" s="73"/>
      <c r="C38" s="73"/>
      <c r="D38" s="73"/>
      <c r="E38" s="49"/>
      <c r="F38" s="45"/>
      <c r="G38" s="19"/>
      <c r="H38" s="19"/>
      <c r="I38" s="19"/>
      <c r="J38" s="46"/>
    </row>
    <row r="39" spans="1:15" ht="15.75" x14ac:dyDescent="0.25">
      <c r="A39" s="58" t="s">
        <v>28</v>
      </c>
      <c r="B39" s="18"/>
      <c r="C39" s="18"/>
      <c r="D39" s="33"/>
      <c r="E39" s="48">
        <f>E41+E50</f>
        <v>52131491.410000011</v>
      </c>
      <c r="F39" s="183" t="s">
        <v>29</v>
      </c>
      <c r="G39" s="184"/>
      <c r="H39" s="184"/>
      <c r="I39" s="19"/>
      <c r="J39" s="48">
        <f>SUM(J40:J42)</f>
        <v>140691329.16</v>
      </c>
    </row>
    <row r="40" spans="1:15" ht="15.75" x14ac:dyDescent="0.25">
      <c r="A40" s="59"/>
      <c r="B40" s="18"/>
      <c r="C40" s="18"/>
      <c r="D40" s="33"/>
      <c r="E40" s="48"/>
      <c r="F40" s="45"/>
      <c r="G40" s="179" t="s">
        <v>30</v>
      </c>
      <c r="H40" s="179"/>
      <c r="I40" s="179"/>
      <c r="J40" s="49">
        <v>133378731.77</v>
      </c>
    </row>
    <row r="41" spans="1:15" ht="15.75" x14ac:dyDescent="0.25">
      <c r="A41" s="185" t="s">
        <v>31</v>
      </c>
      <c r="B41" s="186"/>
      <c r="C41" s="186"/>
      <c r="D41" s="186"/>
      <c r="E41" s="82">
        <f>E42+E43+E44+E45</f>
        <v>47580330.45000001</v>
      </c>
      <c r="F41" s="45"/>
      <c r="G41" s="179" t="s">
        <v>32</v>
      </c>
      <c r="H41" s="179"/>
      <c r="I41" s="179"/>
      <c r="J41" s="49">
        <v>7312597.3899999997</v>
      </c>
    </row>
    <row r="42" spans="1:15" ht="15.75" x14ac:dyDescent="0.25">
      <c r="A42" s="57"/>
      <c r="B42" s="180" t="s">
        <v>19</v>
      </c>
      <c r="C42" s="180"/>
      <c r="D42" s="180"/>
      <c r="E42" s="83">
        <f>2127198.31+8827333.86+1174687.6+324681.79+130563.45+85288.23+232648.94+922816.66</f>
        <v>13825218.839999998</v>
      </c>
      <c r="F42" s="45"/>
      <c r="G42" s="179"/>
      <c r="H42" s="179"/>
      <c r="I42" s="179"/>
      <c r="J42" s="49"/>
    </row>
    <row r="43" spans="1:15" ht="15.75" x14ac:dyDescent="0.25">
      <c r="A43" s="57"/>
      <c r="B43" s="187" t="s">
        <v>21</v>
      </c>
      <c r="C43" s="187"/>
      <c r="D43" s="187"/>
      <c r="E43" s="83">
        <f>5537646.97+12166451.31+1406399.21+1741926.78+196913.09+50632.67+89150.89+627306.59+3098407.93+9746892.24+220866.44+40568.84</f>
        <v>34923162.960000008</v>
      </c>
      <c r="F43" s="45"/>
      <c r="G43" s="68"/>
      <c r="H43" s="68"/>
      <c r="I43" s="68"/>
      <c r="J43" s="46"/>
    </row>
    <row r="44" spans="1:15" ht="15.75" x14ac:dyDescent="0.25">
      <c r="A44" s="57"/>
      <c r="B44" s="187" t="s">
        <v>66</v>
      </c>
      <c r="C44" s="187"/>
      <c r="D44" s="187"/>
      <c r="E44" s="83">
        <f>404687.54+1090127.8</f>
        <v>1494815.34</v>
      </c>
      <c r="F44" s="45"/>
      <c r="G44" s="68"/>
      <c r="H44" s="68"/>
      <c r="I44" s="68"/>
      <c r="J44" s="46"/>
    </row>
    <row r="45" spans="1:15" ht="15.75" x14ac:dyDescent="0.25">
      <c r="A45" s="57"/>
      <c r="B45" s="187" t="s">
        <v>22</v>
      </c>
      <c r="C45" s="187"/>
      <c r="D45" s="187"/>
      <c r="E45" s="49">
        <f>-2662866.69</f>
        <v>-2662866.69</v>
      </c>
      <c r="F45" s="45"/>
      <c r="G45" s="19"/>
      <c r="H45" s="19"/>
      <c r="I45" s="19"/>
      <c r="J45" s="50"/>
    </row>
    <row r="46" spans="1:15" ht="15" customHeight="1" x14ac:dyDescent="0.25">
      <c r="A46" s="185"/>
      <c r="B46" s="186"/>
      <c r="C46" s="186"/>
      <c r="D46" s="186"/>
      <c r="E46" s="48"/>
      <c r="F46" s="47" t="s">
        <v>33</v>
      </c>
      <c r="G46" s="77"/>
      <c r="H46" s="77"/>
      <c r="I46" s="77"/>
      <c r="J46" s="48">
        <f>SUM(J49:J54)</f>
        <v>647901.05999999971</v>
      </c>
      <c r="K46" s="45"/>
      <c r="L46" s="19"/>
      <c r="M46" s="19"/>
      <c r="N46" s="19"/>
      <c r="O46" s="19"/>
    </row>
    <row r="47" spans="1:15" ht="15.75" hidden="1" customHeight="1" x14ac:dyDescent="0.25">
      <c r="A47" s="57"/>
      <c r="B47" s="187"/>
      <c r="C47" s="187"/>
      <c r="D47" s="187"/>
      <c r="E47" s="49"/>
      <c r="F47" s="45"/>
      <c r="G47" s="179" t="s">
        <v>34</v>
      </c>
      <c r="H47" s="179"/>
      <c r="I47" s="179"/>
      <c r="J47" s="49">
        <v>11155142.77</v>
      </c>
      <c r="K47" s="45"/>
      <c r="L47" s="179"/>
      <c r="M47" s="179"/>
      <c r="N47" s="179"/>
      <c r="O47" s="78"/>
    </row>
    <row r="48" spans="1:15" ht="15.75" hidden="1" customHeight="1" x14ac:dyDescent="0.25">
      <c r="A48" s="57"/>
      <c r="B48" s="73"/>
      <c r="C48" s="73"/>
      <c r="D48" s="73"/>
      <c r="E48" s="49"/>
      <c r="F48" s="45"/>
      <c r="G48" s="179" t="s">
        <v>35</v>
      </c>
      <c r="H48" s="179"/>
      <c r="I48" s="179"/>
      <c r="J48" s="49">
        <v>-10361959.039999999</v>
      </c>
      <c r="K48" s="45"/>
      <c r="L48" s="68"/>
      <c r="M48" s="68"/>
      <c r="N48" s="68"/>
      <c r="O48" s="78"/>
    </row>
    <row r="49" spans="1:15" ht="15.75" x14ac:dyDescent="0.25">
      <c r="A49" s="57"/>
      <c r="B49" s="187"/>
      <c r="C49" s="187"/>
      <c r="D49" s="187"/>
      <c r="E49" s="49"/>
      <c r="F49" s="45"/>
      <c r="G49" s="179" t="s">
        <v>34</v>
      </c>
      <c r="H49" s="179"/>
      <c r="I49" s="179"/>
      <c r="J49" s="49">
        <v>7228847.7000000002</v>
      </c>
      <c r="K49" s="47"/>
      <c r="L49" s="77"/>
      <c r="M49" s="77"/>
      <c r="N49" s="77"/>
      <c r="O49" s="79"/>
    </row>
    <row r="50" spans="1:15" ht="15.75" x14ac:dyDescent="0.25">
      <c r="A50" s="185" t="s">
        <v>23</v>
      </c>
      <c r="B50" s="186"/>
      <c r="C50" s="186"/>
      <c r="D50" s="186"/>
      <c r="E50" s="48">
        <f>E51+E52</f>
        <v>4551160.96</v>
      </c>
      <c r="F50" s="45"/>
      <c r="G50" s="179" t="s">
        <v>73</v>
      </c>
      <c r="H50" s="179"/>
      <c r="I50" s="179"/>
      <c r="J50" s="49">
        <v>-6652050.1100000003</v>
      </c>
      <c r="K50" s="45"/>
      <c r="L50" s="179"/>
      <c r="M50" s="179"/>
      <c r="N50" s="179"/>
      <c r="O50" s="80"/>
    </row>
    <row r="51" spans="1:15" ht="15.75" x14ac:dyDescent="0.25">
      <c r="A51" s="57"/>
      <c r="B51" s="187" t="s">
        <v>58</v>
      </c>
      <c r="C51" s="187"/>
      <c r="D51" s="187"/>
      <c r="E51" s="49">
        <v>4551160.96</v>
      </c>
      <c r="F51" s="45"/>
      <c r="G51" s="179" t="s">
        <v>36</v>
      </c>
      <c r="H51" s="179"/>
      <c r="I51" s="179"/>
      <c r="J51" s="49">
        <v>0</v>
      </c>
      <c r="K51" s="45"/>
      <c r="L51" s="179"/>
      <c r="M51" s="179"/>
      <c r="N51" s="179"/>
      <c r="O51" s="80"/>
    </row>
    <row r="52" spans="1:15" ht="15.75" x14ac:dyDescent="0.25">
      <c r="A52" s="57"/>
      <c r="B52" s="187"/>
      <c r="C52" s="187"/>
      <c r="D52" s="187"/>
      <c r="E52" s="49"/>
      <c r="F52" s="45"/>
      <c r="G52" s="179" t="s">
        <v>74</v>
      </c>
      <c r="H52" s="179"/>
      <c r="I52" s="179"/>
      <c r="J52" s="49">
        <v>-1566.05</v>
      </c>
      <c r="K52" s="45"/>
      <c r="L52" s="179"/>
      <c r="M52" s="179"/>
      <c r="N52" s="179"/>
      <c r="O52" s="80"/>
    </row>
    <row r="53" spans="1:15" s="17" customFormat="1" ht="15.75" x14ac:dyDescent="0.25">
      <c r="A53" s="181" t="s">
        <v>37</v>
      </c>
      <c r="B53" s="182"/>
      <c r="C53" s="182"/>
      <c r="D53" s="182"/>
      <c r="E53" s="48">
        <f>SUM(E54+E58+E61+E64)</f>
        <v>6420019.4500000011</v>
      </c>
      <c r="F53" s="45"/>
      <c r="G53" s="179" t="s">
        <v>38</v>
      </c>
      <c r="H53" s="179"/>
      <c r="I53" s="179"/>
      <c r="J53" s="49">
        <v>47668.45</v>
      </c>
    </row>
    <row r="54" spans="1:15" ht="15.75" x14ac:dyDescent="0.25">
      <c r="A54" s="185" t="s">
        <v>67</v>
      </c>
      <c r="B54" s="186"/>
      <c r="C54" s="186"/>
      <c r="D54" s="186"/>
      <c r="E54" s="48">
        <f>E55+E56+E57</f>
        <v>3994414.9800000004</v>
      </c>
      <c r="F54" s="45"/>
      <c r="G54" s="179" t="s">
        <v>39</v>
      </c>
      <c r="H54" s="179"/>
      <c r="I54" s="179"/>
      <c r="J54" s="49">
        <v>25001.07</v>
      </c>
    </row>
    <row r="55" spans="1:15" ht="15.75" x14ac:dyDescent="0.25">
      <c r="A55" s="55"/>
      <c r="B55" s="180" t="s">
        <v>68</v>
      </c>
      <c r="C55" s="180"/>
      <c r="D55" s="180"/>
      <c r="E55" s="49">
        <f>2421898</f>
        <v>2421898</v>
      </c>
      <c r="F55" s="45"/>
      <c r="G55" s="19"/>
      <c r="H55" s="19"/>
      <c r="I55" s="19"/>
      <c r="J55" s="46"/>
    </row>
    <row r="56" spans="1:15" ht="15.75" x14ac:dyDescent="0.25">
      <c r="A56" s="55"/>
      <c r="B56" s="180" t="s">
        <v>69</v>
      </c>
      <c r="C56" s="180"/>
      <c r="D56" s="180"/>
      <c r="E56" s="49">
        <v>1867365.74</v>
      </c>
      <c r="F56" s="45"/>
      <c r="G56" s="19"/>
      <c r="H56" s="19"/>
      <c r="I56" s="19"/>
      <c r="J56" s="46"/>
    </row>
    <row r="57" spans="1:15" ht="15.75" x14ac:dyDescent="0.25">
      <c r="A57" s="55"/>
      <c r="B57" s="180" t="s">
        <v>40</v>
      </c>
      <c r="C57" s="180"/>
      <c r="D57" s="180"/>
      <c r="E57" s="49">
        <v>-294848.76</v>
      </c>
      <c r="F57" s="45"/>
      <c r="G57" s="19"/>
      <c r="H57" s="19"/>
      <c r="I57" s="19"/>
      <c r="J57" s="46"/>
    </row>
    <row r="58" spans="1:15" ht="15.75" x14ac:dyDescent="0.25">
      <c r="A58" s="185" t="s">
        <v>70</v>
      </c>
      <c r="B58" s="186"/>
      <c r="C58" s="186"/>
      <c r="D58" s="186"/>
      <c r="E58" s="48">
        <f>E59+E60</f>
        <v>599668.81000000006</v>
      </c>
      <c r="F58" s="45"/>
      <c r="G58" s="179"/>
      <c r="H58" s="179"/>
      <c r="I58" s="179"/>
      <c r="J58" s="49"/>
    </row>
    <row r="59" spans="1:15" ht="15.75" x14ac:dyDescent="0.25">
      <c r="A59" s="55"/>
      <c r="B59" s="180" t="s">
        <v>71</v>
      </c>
      <c r="C59" s="180"/>
      <c r="D59" s="180"/>
      <c r="E59" s="49">
        <f>384659.22+61908.88+170264.1+4766.11+3051+62181.5+660540.56+39036.25+387021.3</f>
        <v>1773428.9200000002</v>
      </c>
      <c r="F59" s="45"/>
      <c r="G59" s="68"/>
      <c r="H59" s="68"/>
      <c r="I59" s="68"/>
      <c r="J59" s="46"/>
    </row>
    <row r="60" spans="1:15" ht="15.75" x14ac:dyDescent="0.25">
      <c r="A60" s="55"/>
      <c r="B60" s="180" t="s">
        <v>40</v>
      </c>
      <c r="C60" s="180"/>
      <c r="D60" s="180"/>
      <c r="E60" s="49">
        <f>-790223.05-383537.06</f>
        <v>-1173760.1100000001</v>
      </c>
      <c r="F60" s="45"/>
      <c r="G60" s="68"/>
      <c r="H60" s="68"/>
      <c r="I60" s="68"/>
      <c r="J60" s="46"/>
    </row>
    <row r="61" spans="1:15" ht="15.75" x14ac:dyDescent="0.25">
      <c r="A61" s="185" t="s">
        <v>75</v>
      </c>
      <c r="B61" s="186"/>
      <c r="C61" s="186"/>
      <c r="D61" s="186"/>
      <c r="E61" s="48">
        <f>E62+E63</f>
        <v>1758.6200000000099</v>
      </c>
      <c r="F61" s="45"/>
      <c r="G61" s="19"/>
      <c r="H61" s="32"/>
      <c r="I61" s="19"/>
      <c r="J61" s="50"/>
    </row>
    <row r="62" spans="1:15" ht="15.75" x14ac:dyDescent="0.25">
      <c r="A62" s="55"/>
      <c r="B62" s="180" t="s">
        <v>42</v>
      </c>
      <c r="C62" s="180"/>
      <c r="D62" s="180"/>
      <c r="E62" s="49">
        <v>73327.8</v>
      </c>
      <c r="F62" s="45"/>
      <c r="G62" s="19"/>
      <c r="H62" s="19"/>
      <c r="I62" s="19"/>
      <c r="J62" s="50"/>
    </row>
    <row r="63" spans="1:15" ht="15.75" x14ac:dyDescent="0.25">
      <c r="A63" s="55"/>
      <c r="B63" s="180" t="s">
        <v>41</v>
      </c>
      <c r="C63" s="180"/>
      <c r="D63" s="180"/>
      <c r="E63" s="49">
        <v>-71569.179999999993</v>
      </c>
      <c r="F63" s="45"/>
      <c r="G63" s="68"/>
      <c r="H63" s="68"/>
      <c r="I63" s="68"/>
      <c r="J63" s="46"/>
    </row>
    <row r="64" spans="1:15" ht="15.75" x14ac:dyDescent="0.25">
      <c r="A64" s="177" t="s">
        <v>76</v>
      </c>
      <c r="B64" s="178"/>
      <c r="C64" s="178"/>
      <c r="D64" s="178"/>
      <c r="E64" s="48">
        <f>E65+E66</f>
        <v>1824177.04</v>
      </c>
      <c r="F64" s="45"/>
      <c r="G64" s="68"/>
      <c r="H64" s="179"/>
      <c r="I64" s="179"/>
      <c r="J64" s="46"/>
    </row>
    <row r="65" spans="1:12" ht="15.75" x14ac:dyDescent="0.25">
      <c r="A65" s="55"/>
      <c r="B65" s="180" t="s">
        <v>56</v>
      </c>
      <c r="C65" s="180"/>
      <c r="D65" s="180"/>
      <c r="E65" s="49">
        <f>2319674.58+10830</f>
        <v>2330504.58</v>
      </c>
      <c r="F65" s="45"/>
      <c r="G65" s="68"/>
      <c r="H65" s="68"/>
      <c r="I65" s="68"/>
      <c r="J65" s="46"/>
    </row>
    <row r="66" spans="1:12" ht="15.75" x14ac:dyDescent="0.25">
      <c r="A66" s="55"/>
      <c r="B66" s="180" t="s">
        <v>41</v>
      </c>
      <c r="C66" s="180"/>
      <c r="D66" s="180"/>
      <c r="E66" s="49">
        <v>-506327.54</v>
      </c>
      <c r="F66" s="45"/>
      <c r="G66" s="68"/>
      <c r="H66" s="68"/>
      <c r="I66" s="68"/>
      <c r="J66" s="46"/>
    </row>
    <row r="67" spans="1:12" s="17" customFormat="1" ht="24" customHeight="1" x14ac:dyDescent="0.25">
      <c r="A67" s="181" t="s">
        <v>43</v>
      </c>
      <c r="B67" s="182"/>
      <c r="C67" s="182"/>
      <c r="D67" s="182"/>
      <c r="E67" s="48">
        <f>E53+E39+E12</f>
        <v>171160285.13</v>
      </c>
      <c r="F67" s="183" t="s">
        <v>44</v>
      </c>
      <c r="G67" s="184"/>
      <c r="H67" s="184"/>
      <c r="I67" s="184"/>
      <c r="J67" s="48">
        <f>J39+J12+J29+J46</f>
        <v>171160285.13</v>
      </c>
      <c r="L67" s="67">
        <f>E67-J67</f>
        <v>0</v>
      </c>
    </row>
    <row r="68" spans="1:12" s="17" customFormat="1" ht="16.5" thickBot="1" x14ac:dyDescent="0.3">
      <c r="A68" s="60"/>
      <c r="B68" s="61"/>
      <c r="C68" s="61"/>
      <c r="D68" s="61"/>
      <c r="E68" s="62"/>
      <c r="F68" s="51"/>
      <c r="G68" s="52"/>
      <c r="H68" s="52"/>
      <c r="I68" s="52"/>
      <c r="J68" s="53"/>
    </row>
    <row r="69" spans="1:12" ht="21" customHeight="1" x14ac:dyDescent="0.2">
      <c r="A69" s="54"/>
      <c r="B69" s="35"/>
      <c r="C69" s="35"/>
      <c r="D69" s="35"/>
      <c r="E69" s="35"/>
      <c r="F69" s="35"/>
      <c r="G69" s="35"/>
      <c r="H69" s="35"/>
      <c r="I69" s="35"/>
      <c r="J69" s="36"/>
    </row>
    <row r="70" spans="1:12" ht="15.75" x14ac:dyDescent="0.2">
      <c r="A70" s="20"/>
      <c r="B70" s="21"/>
      <c r="C70" s="21"/>
      <c r="D70" s="21"/>
      <c r="E70" s="21"/>
      <c r="F70" s="21"/>
      <c r="G70" s="21"/>
      <c r="H70" s="21"/>
      <c r="I70" s="21"/>
      <c r="J70" s="22"/>
    </row>
    <row r="71" spans="1:12" ht="15.75" x14ac:dyDescent="0.2">
      <c r="A71" s="173" t="s">
        <v>45</v>
      </c>
      <c r="B71" s="174"/>
      <c r="C71" s="174"/>
      <c r="D71" s="174"/>
      <c r="E71" s="174"/>
      <c r="F71" s="174" t="s">
        <v>46</v>
      </c>
      <c r="G71" s="174"/>
      <c r="H71" s="174"/>
      <c r="I71" s="174"/>
      <c r="J71" s="175"/>
    </row>
    <row r="72" spans="1:12" ht="15.75" x14ac:dyDescent="0.25">
      <c r="A72" s="163" t="s">
        <v>61</v>
      </c>
      <c r="B72" s="164"/>
      <c r="C72" s="164"/>
      <c r="D72" s="164"/>
      <c r="E72" s="164"/>
      <c r="F72" s="176"/>
      <c r="G72" s="176"/>
      <c r="H72" s="176"/>
      <c r="I72" s="176"/>
      <c r="J72" s="23"/>
    </row>
    <row r="73" spans="1:12" ht="15.75" x14ac:dyDescent="0.25">
      <c r="A73" s="163" t="s">
        <v>59</v>
      </c>
      <c r="B73" s="164"/>
      <c r="C73" s="164"/>
      <c r="D73" s="164"/>
      <c r="E73" s="164"/>
      <c r="F73" s="164" t="s">
        <v>47</v>
      </c>
      <c r="G73" s="164"/>
      <c r="H73" s="164"/>
      <c r="I73" s="164"/>
      <c r="J73" s="165"/>
    </row>
    <row r="74" spans="1:12" ht="15.75" x14ac:dyDescent="0.25">
      <c r="A74" s="163" t="s">
        <v>62</v>
      </c>
      <c r="B74" s="164"/>
      <c r="C74" s="164"/>
      <c r="D74" s="164"/>
      <c r="E74" s="164"/>
      <c r="F74" s="164" t="s">
        <v>48</v>
      </c>
      <c r="G74" s="164"/>
      <c r="H74" s="164"/>
      <c r="I74" s="164"/>
      <c r="J74" s="165"/>
      <c r="K74" s="24"/>
    </row>
    <row r="75" spans="1:12" ht="15.75" x14ac:dyDescent="0.25">
      <c r="A75" s="163" t="s">
        <v>49</v>
      </c>
      <c r="B75" s="164"/>
      <c r="C75" s="164"/>
      <c r="D75" s="164"/>
      <c r="E75" s="164"/>
      <c r="F75" s="164" t="s">
        <v>50</v>
      </c>
      <c r="G75" s="164"/>
      <c r="H75" s="164"/>
      <c r="I75" s="164"/>
      <c r="J75" s="165"/>
    </row>
    <row r="76" spans="1:12" ht="15.75" x14ac:dyDescent="0.25">
      <c r="A76" s="163" t="s">
        <v>64</v>
      </c>
      <c r="B76" s="164"/>
      <c r="C76" s="164"/>
      <c r="D76" s="164"/>
      <c r="E76" s="164"/>
      <c r="F76" s="169"/>
      <c r="G76" s="169"/>
      <c r="H76" s="169"/>
      <c r="I76" s="169"/>
      <c r="J76" s="170"/>
    </row>
    <row r="77" spans="1:12" ht="15.75" x14ac:dyDescent="0.25">
      <c r="A77" s="163" t="s">
        <v>65</v>
      </c>
      <c r="B77" s="164"/>
      <c r="C77" s="164"/>
      <c r="D77" s="164"/>
      <c r="E77" s="164"/>
      <c r="F77" s="171" t="s">
        <v>51</v>
      </c>
      <c r="G77" s="171"/>
      <c r="H77" s="171"/>
      <c r="I77" s="171"/>
      <c r="J77" s="172"/>
    </row>
    <row r="78" spans="1:12" ht="15.75" x14ac:dyDescent="0.25">
      <c r="A78" s="163" t="s">
        <v>60</v>
      </c>
      <c r="B78" s="164"/>
      <c r="C78" s="164"/>
      <c r="D78" s="164"/>
      <c r="E78" s="164"/>
      <c r="F78" s="164" t="s">
        <v>52</v>
      </c>
      <c r="G78" s="164"/>
      <c r="H78" s="164"/>
      <c r="I78" s="164"/>
      <c r="J78" s="165"/>
    </row>
    <row r="79" spans="1:12" ht="16.5" thickBot="1" x14ac:dyDescent="0.3">
      <c r="A79" s="166" t="s">
        <v>53</v>
      </c>
      <c r="B79" s="167"/>
      <c r="C79" s="167"/>
      <c r="D79" s="167"/>
      <c r="E79" s="167"/>
      <c r="F79" s="167" t="s">
        <v>54</v>
      </c>
      <c r="G79" s="167"/>
      <c r="H79" s="167"/>
      <c r="I79" s="167"/>
      <c r="J79" s="168"/>
    </row>
    <row r="80" spans="1:12" ht="13.5" thickTop="1" x14ac:dyDescent="0.2"/>
    <row r="81" spans="1: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4" spans="1:10" x14ac:dyDescent="0.2">
      <c r="F84" s="27"/>
    </row>
    <row r="86" spans="1:10" x14ac:dyDescent="0.2">
      <c r="J86" s="28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6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O86"/>
  <sheetViews>
    <sheetView topLeftCell="C36" workbookViewId="0">
      <selection activeCell="E59" sqref="E59"/>
    </sheetView>
  </sheetViews>
  <sheetFormatPr defaultRowHeight="12.75" x14ac:dyDescent="0.2"/>
  <cols>
    <col min="1" max="1" width="4.85546875" style="5" customWidth="1"/>
    <col min="2" max="2" width="11.42578125" style="5" customWidth="1"/>
    <col min="3" max="3" width="10.85546875" style="5" customWidth="1"/>
    <col min="4" max="4" width="18.140625" style="7" customWidth="1"/>
    <col min="5" max="5" width="20.140625" style="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7" customWidth="1"/>
    <col min="10" max="10" width="27.5703125" style="25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4"/>
      <c r="E2" s="8" t="s">
        <v>0</v>
      </c>
      <c r="F2" s="9"/>
      <c r="G2" s="9"/>
      <c r="H2" s="9"/>
      <c r="I2" s="9"/>
      <c r="J2" s="10"/>
      <c r="K2" s="9"/>
      <c r="L2" s="9"/>
      <c r="M2" s="9"/>
      <c r="N2" s="9"/>
    </row>
    <row r="3" spans="1:14" x14ac:dyDescent="0.2">
      <c r="A3" s="6"/>
      <c r="E3" s="11" t="s">
        <v>1</v>
      </c>
      <c r="F3" s="12"/>
      <c r="G3" s="12"/>
      <c r="H3" s="12"/>
      <c r="I3" s="12"/>
      <c r="J3" s="13"/>
      <c r="K3" s="12"/>
      <c r="L3" s="12"/>
      <c r="M3" s="12"/>
      <c r="N3" s="12"/>
    </row>
    <row r="4" spans="1:14" x14ac:dyDescent="0.2">
      <c r="A4" s="6"/>
      <c r="B4" s="193"/>
      <c r="C4" s="193"/>
      <c r="D4" s="66"/>
      <c r="E4" s="11" t="s">
        <v>2</v>
      </c>
      <c r="F4" s="12"/>
      <c r="G4" s="12"/>
      <c r="H4" s="12"/>
      <c r="I4" s="12"/>
      <c r="J4" s="13"/>
      <c r="K4" s="12"/>
      <c r="L4" s="12"/>
      <c r="M4" s="12"/>
      <c r="N4" s="12"/>
    </row>
    <row r="5" spans="1:14" ht="15" x14ac:dyDescent="0.25">
      <c r="A5" s="14"/>
      <c r="B5" s="193"/>
      <c r="C5" s="193"/>
      <c r="D5" s="76"/>
      <c r="E5" s="11" t="s">
        <v>3</v>
      </c>
      <c r="F5" s="12"/>
      <c r="G5" s="12"/>
      <c r="H5" s="12"/>
      <c r="I5" s="12"/>
      <c r="J5" s="13"/>
      <c r="K5" s="12"/>
      <c r="L5" s="12"/>
      <c r="M5" s="12"/>
      <c r="N5" s="12"/>
    </row>
    <row r="6" spans="1:14" ht="15.75" customHeight="1" x14ac:dyDescent="0.2">
      <c r="A6" s="194"/>
      <c r="B6" s="195"/>
      <c r="C6" s="195"/>
      <c r="D6" s="195"/>
      <c r="E6" s="195"/>
      <c r="J6" s="15"/>
    </row>
    <row r="7" spans="1:14" ht="24" customHeight="1" x14ac:dyDescent="0.2">
      <c r="A7" s="30"/>
      <c r="B7" s="31"/>
      <c r="C7" s="31"/>
      <c r="D7" s="31"/>
      <c r="E7" s="31"/>
      <c r="J7" s="15"/>
    </row>
    <row r="8" spans="1:14" ht="20.25" customHeight="1" x14ac:dyDescent="0.2">
      <c r="A8" s="196" t="s">
        <v>79</v>
      </c>
      <c r="B8" s="197"/>
      <c r="C8" s="197"/>
      <c r="D8" s="197"/>
      <c r="E8" s="197"/>
      <c r="F8" s="197"/>
      <c r="G8" s="197"/>
      <c r="H8" s="197"/>
      <c r="I8" s="197"/>
      <c r="J8" s="198"/>
    </row>
    <row r="9" spans="1:14" ht="15" customHeight="1" thickBot="1" x14ac:dyDescent="0.25">
      <c r="A9" s="196"/>
      <c r="B9" s="197"/>
      <c r="C9" s="197"/>
      <c r="D9" s="197"/>
      <c r="E9" s="197"/>
      <c r="F9" s="197"/>
      <c r="G9" s="197"/>
      <c r="H9" s="197"/>
      <c r="I9" s="197"/>
      <c r="J9" s="198"/>
    </row>
    <row r="10" spans="1:14" s="16" customFormat="1" ht="25.5" customHeight="1" thickBot="1" x14ac:dyDescent="0.35">
      <c r="A10" s="199" t="s">
        <v>4</v>
      </c>
      <c r="B10" s="200"/>
      <c r="C10" s="200"/>
      <c r="D10" s="200"/>
      <c r="E10" s="200"/>
      <c r="F10" s="199" t="s">
        <v>5</v>
      </c>
      <c r="G10" s="200"/>
      <c r="H10" s="200"/>
      <c r="I10" s="200"/>
      <c r="J10" s="201"/>
    </row>
    <row r="11" spans="1:14" s="16" customFormat="1" ht="19.5" customHeight="1" x14ac:dyDescent="0.25">
      <c r="A11" s="37"/>
      <c r="B11" s="38"/>
      <c r="C11" s="38"/>
      <c r="D11" s="38"/>
      <c r="E11" s="39"/>
      <c r="F11" s="37"/>
      <c r="G11" s="38"/>
      <c r="H11" s="38"/>
      <c r="I11" s="38"/>
      <c r="J11" s="39"/>
    </row>
    <row r="12" spans="1:14" s="17" customFormat="1" ht="15.75" x14ac:dyDescent="0.25">
      <c r="A12" s="181" t="s">
        <v>6</v>
      </c>
      <c r="B12" s="182"/>
      <c r="C12" s="182"/>
      <c r="D12" s="182"/>
      <c r="E12" s="48">
        <f>SUM(E14+E16+E19+E22+E28+E31+E35)</f>
        <v>111551368.16999999</v>
      </c>
      <c r="F12" s="202" t="s">
        <v>7</v>
      </c>
      <c r="G12" s="203"/>
      <c r="H12" s="203"/>
      <c r="I12" s="203"/>
      <c r="J12" s="40">
        <f>J16+J20</f>
        <v>9879008.3399999999</v>
      </c>
    </row>
    <row r="13" spans="1:14" s="17" customFormat="1" ht="15.75" x14ac:dyDescent="0.25">
      <c r="A13" s="74"/>
      <c r="B13" s="72"/>
      <c r="C13" s="72"/>
      <c r="D13" s="72"/>
      <c r="E13" s="49"/>
      <c r="F13" s="75"/>
      <c r="G13" s="70"/>
      <c r="H13" s="70"/>
      <c r="I13" s="70"/>
      <c r="J13" s="41"/>
    </row>
    <row r="14" spans="1:14" s="17" customFormat="1" ht="15.75" x14ac:dyDescent="0.25">
      <c r="A14" s="185" t="s">
        <v>8</v>
      </c>
      <c r="B14" s="186"/>
      <c r="C14" s="186"/>
      <c r="D14" s="186"/>
      <c r="E14" s="49">
        <v>55469.07</v>
      </c>
      <c r="F14" s="75"/>
      <c r="G14" s="204"/>
      <c r="H14" s="204"/>
      <c r="I14" s="204"/>
      <c r="J14" s="41"/>
    </row>
    <row r="15" spans="1:14" s="17" customFormat="1" ht="15.75" x14ac:dyDescent="0.25">
      <c r="A15" s="55"/>
      <c r="B15" s="72"/>
      <c r="C15" s="72"/>
      <c r="D15" s="72"/>
      <c r="E15" s="49"/>
      <c r="F15" s="205"/>
      <c r="G15" s="206"/>
      <c r="H15" s="206"/>
      <c r="I15" s="206"/>
      <c r="J15" s="207"/>
    </row>
    <row r="16" spans="1:14" s="17" customFormat="1" ht="15.75" x14ac:dyDescent="0.25">
      <c r="A16" s="185" t="s">
        <v>9</v>
      </c>
      <c r="B16" s="186"/>
      <c r="C16" s="186"/>
      <c r="D16" s="186"/>
      <c r="E16" s="48">
        <f>SUM(E17)</f>
        <v>30927021.27</v>
      </c>
      <c r="F16" s="190" t="s">
        <v>10</v>
      </c>
      <c r="G16" s="191"/>
      <c r="H16" s="191"/>
      <c r="I16" s="191"/>
      <c r="J16" s="42">
        <f>SUM(J17+J18)</f>
        <v>1755843.24</v>
      </c>
    </row>
    <row r="17" spans="1:10" ht="15.75" x14ac:dyDescent="0.25">
      <c r="A17" s="55"/>
      <c r="B17" s="180" t="s">
        <v>11</v>
      </c>
      <c r="C17" s="180"/>
      <c r="D17" s="180"/>
      <c r="E17" s="49">
        <v>30927021.27</v>
      </c>
      <c r="F17" s="75"/>
      <c r="G17" s="69" t="s">
        <v>12</v>
      </c>
      <c r="H17" s="29" t="s">
        <v>63</v>
      </c>
      <c r="I17" s="29"/>
      <c r="J17" s="43">
        <v>1318775.28</v>
      </c>
    </row>
    <row r="18" spans="1:10" ht="15.75" x14ac:dyDescent="0.25">
      <c r="A18" s="55"/>
      <c r="B18" s="72"/>
      <c r="C18" s="72"/>
      <c r="D18" s="72"/>
      <c r="E18" s="49"/>
      <c r="F18" s="75"/>
      <c r="G18" s="69"/>
      <c r="H18" s="69" t="s">
        <v>12</v>
      </c>
      <c r="I18" s="29"/>
      <c r="J18" s="84">
        <v>437067.96</v>
      </c>
    </row>
    <row r="19" spans="1:10" ht="15.75" x14ac:dyDescent="0.25">
      <c r="A19" s="185" t="s">
        <v>13</v>
      </c>
      <c r="B19" s="186"/>
      <c r="C19" s="186"/>
      <c r="D19" s="186"/>
      <c r="E19" s="48">
        <f>SUM(E20)</f>
        <v>30332272.449999999</v>
      </c>
      <c r="F19" s="75"/>
      <c r="G19" s="70"/>
      <c r="H19" s="69"/>
      <c r="I19" s="70"/>
      <c r="J19" s="43"/>
    </row>
    <row r="20" spans="1:10" ht="15.75" x14ac:dyDescent="0.25">
      <c r="A20" s="55"/>
      <c r="B20" s="180" t="s">
        <v>14</v>
      </c>
      <c r="C20" s="180"/>
      <c r="D20" s="180"/>
      <c r="E20" s="49">
        <v>30332272.449999999</v>
      </c>
      <c r="F20" s="190" t="s">
        <v>15</v>
      </c>
      <c r="G20" s="191"/>
      <c r="H20" s="191"/>
      <c r="I20" s="191"/>
      <c r="J20" s="42">
        <f>SUM(J21:J23)</f>
        <v>8123165.0999999996</v>
      </c>
    </row>
    <row r="21" spans="1:10" ht="15.75" x14ac:dyDescent="0.25">
      <c r="A21" s="55"/>
      <c r="B21" s="182"/>
      <c r="C21" s="182"/>
      <c r="D21" s="182"/>
      <c r="E21" s="48"/>
      <c r="F21" s="44"/>
      <c r="G21" s="192" t="s">
        <v>16</v>
      </c>
      <c r="H21" s="192"/>
      <c r="I21" s="192"/>
      <c r="J21" s="43">
        <v>1922631.44</v>
      </c>
    </row>
    <row r="22" spans="1:10" ht="15.75" x14ac:dyDescent="0.25">
      <c r="A22" s="185" t="s">
        <v>17</v>
      </c>
      <c r="B22" s="186"/>
      <c r="C22" s="186"/>
      <c r="D22" s="186"/>
      <c r="E22" s="48">
        <f>E23+E24+E25+E26</f>
        <v>35200265.639999986</v>
      </c>
      <c r="F22" s="44"/>
      <c r="G22" s="69" t="s">
        <v>18</v>
      </c>
      <c r="H22" s="69" t="s">
        <v>18</v>
      </c>
      <c r="I22" s="69"/>
      <c r="J22" s="43">
        <v>688295.21</v>
      </c>
    </row>
    <row r="23" spans="1:10" ht="15.75" x14ac:dyDescent="0.25">
      <c r="A23" s="55"/>
      <c r="B23" s="180" t="s">
        <v>19</v>
      </c>
      <c r="C23" s="180"/>
      <c r="D23" s="180"/>
      <c r="E23" s="49">
        <f>3449560.69+16512643.35+1842776.47+561467.07+964784.7+396541.81+249175.88+2977738.05</f>
        <v>26954688.019999996</v>
      </c>
      <c r="F23" s="44"/>
      <c r="G23" s="69" t="s">
        <v>20</v>
      </c>
      <c r="H23" s="69" t="s">
        <v>20</v>
      </c>
      <c r="I23" s="69"/>
      <c r="J23" s="43">
        <f>20041.65+5492196.8</f>
        <v>5512238.4500000002</v>
      </c>
    </row>
    <row r="24" spans="1:10" ht="15.75" x14ac:dyDescent="0.25">
      <c r="A24" s="55"/>
      <c r="B24" s="187" t="s">
        <v>21</v>
      </c>
      <c r="C24" s="187"/>
      <c r="D24" s="187"/>
      <c r="E24" s="49">
        <f>2501900.33+5559624.79+931850.79+794489.63+424308.69+148623.84+48781.75+667069.53+336992.49+1547541.25+20252.24+153150.94</f>
        <v>13134586.27</v>
      </c>
      <c r="F24" s="44"/>
      <c r="G24" s="70"/>
      <c r="H24" s="69"/>
      <c r="I24" s="18"/>
      <c r="J24" s="43"/>
    </row>
    <row r="25" spans="1:10" ht="15.75" x14ac:dyDescent="0.25">
      <c r="A25" s="57"/>
      <c r="B25" s="187" t="s">
        <v>66</v>
      </c>
      <c r="C25" s="187"/>
      <c r="D25" s="187"/>
      <c r="E25" s="49">
        <f>58440.23+130055.32</f>
        <v>188495.55000000002</v>
      </c>
      <c r="F25" s="45"/>
      <c r="G25" s="68"/>
      <c r="H25" s="68"/>
      <c r="I25" s="68"/>
      <c r="J25" s="46"/>
    </row>
    <row r="26" spans="1:10" ht="15.75" x14ac:dyDescent="0.25">
      <c r="A26" s="55"/>
      <c r="B26" s="187" t="s">
        <v>22</v>
      </c>
      <c r="C26" s="187"/>
      <c r="D26" s="187"/>
      <c r="E26" s="49">
        <f>-17247.73-165126.41-55283.25-56146.68-289435.17-198270.84-174423.05-2977736.21-12509.43-55596.18-27955.49-79448.83-127292.33-74311.78-34147.19-667069.08-1684.96-15475.33-607.56-45945.22-292.2-1300.55-198.73</f>
        <v>-5077504.2000000011</v>
      </c>
      <c r="F26" s="45"/>
      <c r="G26" s="68"/>
      <c r="H26" s="68"/>
      <c r="I26" s="68"/>
      <c r="J26" s="46"/>
    </row>
    <row r="27" spans="1:10" ht="15.75" x14ac:dyDescent="0.25">
      <c r="A27" s="55"/>
      <c r="B27" s="18"/>
      <c r="C27" s="18"/>
      <c r="D27" s="33"/>
      <c r="E27" s="49"/>
      <c r="F27" s="45"/>
      <c r="G27" s="19"/>
      <c r="H27" s="19"/>
      <c r="I27" s="19"/>
      <c r="J27" s="46"/>
    </row>
    <row r="28" spans="1:10" ht="15.75" x14ac:dyDescent="0.25">
      <c r="A28" s="185" t="s">
        <v>23</v>
      </c>
      <c r="B28" s="186"/>
      <c r="C28" s="186"/>
      <c r="D28" s="186"/>
      <c r="E28" s="48">
        <f>E29</f>
        <v>14704758.400000002</v>
      </c>
      <c r="F28" s="47" t="s">
        <v>55</v>
      </c>
      <c r="G28" s="19"/>
      <c r="H28" s="19"/>
      <c r="I28" s="19"/>
      <c r="J28" s="46"/>
    </row>
    <row r="29" spans="1:10" ht="15.75" x14ac:dyDescent="0.25">
      <c r="A29" s="55"/>
      <c r="B29" s="187" t="s">
        <v>24</v>
      </c>
      <c r="C29" s="187"/>
      <c r="D29" s="187"/>
      <c r="E29" s="49">
        <f>19800558.96-5095800.56</f>
        <v>14704758.400000002</v>
      </c>
      <c r="F29" s="188" t="s">
        <v>25</v>
      </c>
      <c r="G29" s="189"/>
      <c r="H29" s="189"/>
      <c r="I29" s="189"/>
      <c r="J29" s="48">
        <f>J33</f>
        <v>20748966.98</v>
      </c>
    </row>
    <row r="30" spans="1:10" ht="15.75" x14ac:dyDescent="0.25">
      <c r="A30" s="55"/>
      <c r="B30" s="18"/>
      <c r="C30" s="18"/>
      <c r="D30" s="33"/>
      <c r="E30" s="49"/>
      <c r="F30" s="45"/>
      <c r="G30" s="19"/>
      <c r="H30" s="19"/>
      <c r="I30" s="19"/>
      <c r="J30" s="49"/>
    </row>
    <row r="31" spans="1:10" ht="15.75" hidden="1" x14ac:dyDescent="0.25">
      <c r="A31" s="185"/>
      <c r="B31" s="186"/>
      <c r="C31" s="186"/>
      <c r="D31" s="186"/>
      <c r="E31" s="48"/>
      <c r="F31" s="45"/>
      <c r="G31" s="19"/>
      <c r="H31" s="19"/>
      <c r="I31" s="19"/>
      <c r="J31" s="49"/>
    </row>
    <row r="32" spans="1:10" ht="15.75" hidden="1" x14ac:dyDescent="0.25">
      <c r="A32" s="56"/>
      <c r="B32" s="180"/>
      <c r="C32" s="180"/>
      <c r="D32" s="71"/>
      <c r="E32" s="63"/>
      <c r="F32" s="64"/>
      <c r="G32" s="65"/>
      <c r="H32" s="65"/>
      <c r="I32" s="65"/>
      <c r="J32" s="63"/>
    </row>
    <row r="33" spans="1:15" ht="15.75" x14ac:dyDescent="0.25">
      <c r="A33" s="56"/>
      <c r="B33" s="180"/>
      <c r="C33" s="180"/>
      <c r="D33" s="71"/>
      <c r="E33" s="63"/>
      <c r="F33" s="188" t="s">
        <v>10</v>
      </c>
      <c r="G33" s="189"/>
      <c r="H33" s="189"/>
      <c r="I33" s="189"/>
      <c r="J33" s="48">
        <f>SUM(J34+J35)</f>
        <v>20748966.98</v>
      </c>
    </row>
    <row r="34" spans="1:15" ht="15.75" x14ac:dyDescent="0.25">
      <c r="A34" s="55"/>
      <c r="B34" s="18"/>
      <c r="C34" s="73"/>
      <c r="D34" s="73"/>
      <c r="E34" s="49"/>
      <c r="F34" s="45"/>
      <c r="G34" s="19" t="s">
        <v>57</v>
      </c>
      <c r="H34" s="19" t="s">
        <v>57</v>
      </c>
      <c r="I34" s="19"/>
      <c r="J34" s="49">
        <v>16063930.4</v>
      </c>
    </row>
    <row r="35" spans="1:15" ht="15.75" x14ac:dyDescent="0.25">
      <c r="A35" s="185" t="s">
        <v>26</v>
      </c>
      <c r="B35" s="186"/>
      <c r="C35" s="186"/>
      <c r="D35" s="186"/>
      <c r="E35" s="48">
        <f>E36</f>
        <v>331581.34000000003</v>
      </c>
      <c r="F35" s="64"/>
      <c r="G35" s="65"/>
      <c r="H35" s="19" t="s">
        <v>12</v>
      </c>
      <c r="I35" s="19"/>
      <c r="J35" s="83">
        <v>4685036.58</v>
      </c>
    </row>
    <row r="36" spans="1:15" ht="15.75" x14ac:dyDescent="0.25">
      <c r="A36" s="55"/>
      <c r="B36" s="187" t="s">
        <v>27</v>
      </c>
      <c r="C36" s="187"/>
      <c r="D36" s="187"/>
      <c r="E36" s="49">
        <v>331581.34000000003</v>
      </c>
      <c r="F36" s="45"/>
      <c r="G36" s="19"/>
      <c r="H36" s="19"/>
      <c r="I36" s="19"/>
      <c r="J36" s="46"/>
    </row>
    <row r="37" spans="1:15" ht="15.75" x14ac:dyDescent="0.25">
      <c r="A37" s="55"/>
      <c r="B37" s="73"/>
      <c r="C37" s="73"/>
      <c r="D37" s="73"/>
      <c r="E37" s="49"/>
      <c r="F37" s="45"/>
      <c r="G37" s="19"/>
      <c r="H37" s="19"/>
      <c r="I37" s="19"/>
      <c r="J37" s="46"/>
    </row>
    <row r="38" spans="1:15" ht="15.75" x14ac:dyDescent="0.25">
      <c r="A38" s="57" t="s">
        <v>55</v>
      </c>
      <c r="B38" s="73"/>
      <c r="C38" s="73"/>
      <c r="D38" s="73"/>
      <c r="E38" s="49"/>
      <c r="F38" s="45"/>
      <c r="G38" s="19"/>
      <c r="H38" s="19"/>
      <c r="I38" s="19"/>
      <c r="J38" s="46"/>
    </row>
    <row r="39" spans="1:15" ht="15.75" x14ac:dyDescent="0.25">
      <c r="A39" s="58" t="s">
        <v>28</v>
      </c>
      <c r="B39" s="18"/>
      <c r="C39" s="18"/>
      <c r="D39" s="33"/>
      <c r="E39" s="48">
        <f>E41+E50</f>
        <v>54117146.049999997</v>
      </c>
      <c r="F39" s="183" t="s">
        <v>29</v>
      </c>
      <c r="G39" s="184"/>
      <c r="H39" s="184"/>
      <c r="I39" s="19"/>
      <c r="J39" s="48">
        <f>SUM(J40:J42)</f>
        <v>140691329.16</v>
      </c>
    </row>
    <row r="40" spans="1:15" ht="15.75" x14ac:dyDescent="0.25">
      <c r="A40" s="59"/>
      <c r="B40" s="18"/>
      <c r="C40" s="18"/>
      <c r="D40" s="33"/>
      <c r="E40" s="48"/>
      <c r="F40" s="45"/>
      <c r="G40" s="179" t="s">
        <v>30</v>
      </c>
      <c r="H40" s="179"/>
      <c r="I40" s="179"/>
      <c r="J40" s="49">
        <v>133378731.77</v>
      </c>
    </row>
    <row r="41" spans="1:15" ht="15.75" x14ac:dyDescent="0.25">
      <c r="A41" s="185" t="s">
        <v>31</v>
      </c>
      <c r="B41" s="186"/>
      <c r="C41" s="186"/>
      <c r="D41" s="186"/>
      <c r="E41" s="48">
        <f>E42+E43+E44+E45</f>
        <v>49021345.489999995</v>
      </c>
      <c r="F41" s="45"/>
      <c r="G41" s="179" t="s">
        <v>32</v>
      </c>
      <c r="H41" s="179"/>
      <c r="I41" s="179"/>
      <c r="J41" s="49">
        <v>7312597.3899999997</v>
      </c>
    </row>
    <row r="42" spans="1:15" ht="15.75" x14ac:dyDescent="0.25">
      <c r="A42" s="57"/>
      <c r="B42" s="180" t="s">
        <v>19</v>
      </c>
      <c r="C42" s="180"/>
      <c r="D42" s="180"/>
      <c r="E42" s="49">
        <f>2113650.76+8935989.66+1100992.71+282886.66+227652.94+95405+57796.55+1097774.18</f>
        <v>13912148.459999999</v>
      </c>
      <c r="F42" s="45"/>
      <c r="G42" s="179"/>
      <c r="H42" s="179"/>
      <c r="I42" s="179"/>
      <c r="J42" s="49"/>
    </row>
    <row r="43" spans="1:15" ht="15.75" x14ac:dyDescent="0.25">
      <c r="A43" s="57"/>
      <c r="B43" s="187" t="s">
        <v>21</v>
      </c>
      <c r="C43" s="187"/>
      <c r="D43" s="187"/>
      <c r="E43" s="49">
        <f>6431346.75+11623255.26+1658163.77+1391143.11+765141.87+217180.24+41458.95+711698.12+1719414.06+11585294.51+91184.55+212623.2</f>
        <v>36447904.389999993</v>
      </c>
      <c r="F43" s="45"/>
      <c r="G43" s="68"/>
      <c r="H43" s="68"/>
      <c r="I43" s="68"/>
      <c r="J43" s="46"/>
    </row>
    <row r="44" spans="1:15" ht="15.75" x14ac:dyDescent="0.25">
      <c r="A44" s="57"/>
      <c r="B44" s="187" t="s">
        <v>66</v>
      </c>
      <c r="C44" s="187"/>
      <c r="D44" s="187"/>
      <c r="E44" s="49">
        <f>1086303.95+609258.05</f>
        <v>1695562</v>
      </c>
      <c r="F44" s="45"/>
      <c r="G44" s="68"/>
      <c r="H44" s="68"/>
      <c r="I44" s="68"/>
      <c r="J44" s="46"/>
    </row>
    <row r="45" spans="1:15" ht="15.75" x14ac:dyDescent="0.25">
      <c r="A45" s="57"/>
      <c r="B45" s="187" t="s">
        <v>22</v>
      </c>
      <c r="C45" s="187"/>
      <c r="D45" s="187"/>
      <c r="E45" s="49">
        <f>-10568.32-89359.93-33029.81-28288.68-68296.14-47702.63-40457.64-1097776.02-32156.83-116232.65-49744.95-139114.46-229542.84-108590.27-29021.29-711698.57-8597.08-115853.04-2735.54-63787.02-5431.53-6092.59-191.53</f>
        <v>-3034269.3599999994</v>
      </c>
      <c r="F45" s="45"/>
      <c r="G45" s="19"/>
      <c r="H45" s="19"/>
      <c r="I45" s="19"/>
      <c r="J45" s="50"/>
    </row>
    <row r="46" spans="1:15" ht="15" customHeight="1" x14ac:dyDescent="0.25">
      <c r="A46" s="185"/>
      <c r="B46" s="186"/>
      <c r="C46" s="186"/>
      <c r="D46" s="186"/>
      <c r="E46" s="48"/>
      <c r="F46" s="47" t="s">
        <v>33</v>
      </c>
      <c r="G46" s="77"/>
      <c r="H46" s="77"/>
      <c r="I46" s="77"/>
      <c r="J46" s="48">
        <f>SUM(J49:J54)</f>
        <v>713640.94999999844</v>
      </c>
      <c r="K46" s="45"/>
      <c r="L46" s="19"/>
      <c r="M46" s="19"/>
      <c r="N46" s="19"/>
      <c r="O46" s="19"/>
    </row>
    <row r="47" spans="1:15" ht="15.75" hidden="1" customHeight="1" x14ac:dyDescent="0.25">
      <c r="A47" s="57"/>
      <c r="B47" s="187"/>
      <c r="C47" s="187"/>
      <c r="D47" s="187"/>
      <c r="E47" s="49"/>
      <c r="F47" s="45"/>
      <c r="G47" s="179" t="s">
        <v>34</v>
      </c>
      <c r="H47" s="179"/>
      <c r="I47" s="179"/>
      <c r="J47" s="49">
        <v>11155142.77</v>
      </c>
      <c r="K47" s="45"/>
      <c r="L47" s="179"/>
      <c r="M47" s="179"/>
      <c r="N47" s="179"/>
      <c r="O47" s="78"/>
    </row>
    <row r="48" spans="1:15" ht="15.75" hidden="1" customHeight="1" x14ac:dyDescent="0.25">
      <c r="A48" s="57"/>
      <c r="B48" s="73"/>
      <c r="C48" s="73"/>
      <c r="D48" s="73"/>
      <c r="E48" s="49"/>
      <c r="F48" s="45"/>
      <c r="G48" s="179" t="s">
        <v>35</v>
      </c>
      <c r="H48" s="179"/>
      <c r="I48" s="179"/>
      <c r="J48" s="49">
        <v>-10361959.039999999</v>
      </c>
      <c r="K48" s="45"/>
      <c r="L48" s="68"/>
      <c r="M48" s="68"/>
      <c r="N48" s="68"/>
      <c r="O48" s="78"/>
    </row>
    <row r="49" spans="1:15" ht="15.75" x14ac:dyDescent="0.25">
      <c r="A49" s="57"/>
      <c r="B49" s="187"/>
      <c r="C49" s="187"/>
      <c r="D49" s="187"/>
      <c r="E49" s="49"/>
      <c r="F49" s="45"/>
      <c r="G49" s="179" t="s">
        <v>34</v>
      </c>
      <c r="H49" s="179"/>
      <c r="I49" s="179"/>
      <c r="J49" s="49">
        <v>9491659.0399999991</v>
      </c>
      <c r="K49" s="47"/>
      <c r="L49" s="77"/>
      <c r="M49" s="77"/>
      <c r="N49" s="77"/>
      <c r="O49" s="79"/>
    </row>
    <row r="50" spans="1:15" ht="15.75" x14ac:dyDescent="0.25">
      <c r="A50" s="185" t="s">
        <v>23</v>
      </c>
      <c r="B50" s="186"/>
      <c r="C50" s="186"/>
      <c r="D50" s="186"/>
      <c r="E50" s="48">
        <f>E51+E52</f>
        <v>5095800.5599999996</v>
      </c>
      <c r="F50" s="45"/>
      <c r="G50" s="179" t="s">
        <v>73</v>
      </c>
      <c r="H50" s="179"/>
      <c r="I50" s="179"/>
      <c r="J50" s="49">
        <v>-9147805.9700000007</v>
      </c>
      <c r="K50" s="45"/>
      <c r="L50" s="179"/>
      <c r="M50" s="179"/>
      <c r="N50" s="179"/>
      <c r="O50" s="80"/>
    </row>
    <row r="51" spans="1:15" ht="15.75" x14ac:dyDescent="0.25">
      <c r="A51" s="57"/>
      <c r="B51" s="187" t="s">
        <v>58</v>
      </c>
      <c r="C51" s="187"/>
      <c r="D51" s="187"/>
      <c r="E51" s="49">
        <v>5095800.5599999996</v>
      </c>
      <c r="F51" s="45"/>
      <c r="G51" s="179" t="s">
        <v>36</v>
      </c>
      <c r="H51" s="179"/>
      <c r="I51" s="179"/>
      <c r="J51" s="49">
        <v>0</v>
      </c>
      <c r="K51" s="45"/>
      <c r="L51" s="179"/>
      <c r="M51" s="179"/>
      <c r="N51" s="179"/>
      <c r="O51" s="80"/>
    </row>
    <row r="52" spans="1:15" ht="15.75" x14ac:dyDescent="0.25">
      <c r="A52" s="57"/>
      <c r="B52" s="187"/>
      <c r="C52" s="187"/>
      <c r="D52" s="187"/>
      <c r="E52" s="49"/>
      <c r="F52" s="45"/>
      <c r="G52" s="179" t="s">
        <v>74</v>
      </c>
      <c r="H52" s="179"/>
      <c r="I52" s="179"/>
      <c r="J52" s="49">
        <v>-2100.13</v>
      </c>
      <c r="K52" s="45"/>
      <c r="L52" s="179"/>
      <c r="M52" s="179"/>
      <c r="N52" s="179"/>
      <c r="O52" s="80"/>
    </row>
    <row r="53" spans="1:15" s="17" customFormat="1" ht="15.75" x14ac:dyDescent="0.25">
      <c r="A53" s="181" t="s">
        <v>37</v>
      </c>
      <c r="B53" s="182"/>
      <c r="C53" s="182"/>
      <c r="D53" s="182"/>
      <c r="E53" s="48">
        <f>SUM(E54+E58+E61+E64)</f>
        <v>6364431.2100000009</v>
      </c>
      <c r="F53" s="45"/>
      <c r="G53" s="179" t="s">
        <v>38</v>
      </c>
      <c r="H53" s="179"/>
      <c r="I53" s="179"/>
      <c r="J53" s="49">
        <v>258261.25</v>
      </c>
    </row>
    <row r="54" spans="1:15" ht="15.75" x14ac:dyDescent="0.25">
      <c r="A54" s="185" t="s">
        <v>67</v>
      </c>
      <c r="B54" s="186"/>
      <c r="C54" s="186"/>
      <c r="D54" s="186"/>
      <c r="E54" s="48">
        <f>E55+E56+E57</f>
        <v>3988353.12</v>
      </c>
      <c r="F54" s="45"/>
      <c r="G54" s="179" t="s">
        <v>39</v>
      </c>
      <c r="H54" s="179"/>
      <c r="I54" s="179"/>
      <c r="J54" s="49">
        <v>113626.76</v>
      </c>
    </row>
    <row r="55" spans="1:15" ht="15.75" x14ac:dyDescent="0.25">
      <c r="A55" s="55"/>
      <c r="B55" s="180" t="s">
        <v>68</v>
      </c>
      <c r="C55" s="180"/>
      <c r="D55" s="180"/>
      <c r="E55" s="49">
        <f>2421898</f>
        <v>2421898</v>
      </c>
      <c r="F55" s="45"/>
      <c r="G55" s="19"/>
      <c r="H55" s="19"/>
      <c r="I55" s="19"/>
      <c r="J55" s="46"/>
    </row>
    <row r="56" spans="1:15" ht="15.75" x14ac:dyDescent="0.25">
      <c r="A56" s="55"/>
      <c r="B56" s="180" t="s">
        <v>69</v>
      </c>
      <c r="C56" s="180"/>
      <c r="D56" s="180"/>
      <c r="E56" s="49">
        <v>1867365.74</v>
      </c>
      <c r="F56" s="45"/>
      <c r="G56" s="19"/>
      <c r="H56" s="19"/>
      <c r="I56" s="19"/>
      <c r="J56" s="46"/>
    </row>
    <row r="57" spans="1:15" ht="15.75" x14ac:dyDescent="0.25">
      <c r="A57" s="55"/>
      <c r="B57" s="180" t="s">
        <v>40</v>
      </c>
      <c r="C57" s="180"/>
      <c r="D57" s="180"/>
      <c r="E57" s="49">
        <v>-300910.62</v>
      </c>
      <c r="F57" s="45"/>
      <c r="G57" s="19"/>
      <c r="H57" s="19"/>
      <c r="I57" s="19"/>
      <c r="J57" s="46"/>
    </row>
    <row r="58" spans="1:15" ht="15.75" x14ac:dyDescent="0.25">
      <c r="A58" s="185" t="s">
        <v>70</v>
      </c>
      <c r="B58" s="186"/>
      <c r="C58" s="186"/>
      <c r="D58" s="186"/>
      <c r="E58" s="48">
        <f>E59+E60</f>
        <v>585468.53000000026</v>
      </c>
      <c r="F58" s="45"/>
      <c r="G58" s="179"/>
      <c r="H58" s="179"/>
      <c r="I58" s="179"/>
      <c r="J58" s="49"/>
    </row>
    <row r="59" spans="1:15" ht="15.75" x14ac:dyDescent="0.25">
      <c r="A59" s="55"/>
      <c r="B59" s="180" t="s">
        <v>71</v>
      </c>
      <c r="C59" s="180"/>
      <c r="D59" s="180"/>
      <c r="E59" s="49">
        <f>384659.22+61908.88+170264.1+4766.11+3051+62181.5+660540.56+39036.25+387021.3</f>
        <v>1773428.9200000002</v>
      </c>
      <c r="F59" s="45"/>
      <c r="G59" s="68"/>
      <c r="H59" s="68"/>
      <c r="I59" s="68"/>
      <c r="J59" s="46"/>
    </row>
    <row r="60" spans="1:15" ht="15.75" x14ac:dyDescent="0.25">
      <c r="A60" s="55"/>
      <c r="B60" s="180" t="s">
        <v>40</v>
      </c>
      <c r="C60" s="180"/>
      <c r="D60" s="180"/>
      <c r="E60" s="49">
        <f>-800718.21-387242.18</f>
        <v>-1187960.3899999999</v>
      </c>
      <c r="F60" s="45"/>
      <c r="G60" s="68"/>
      <c r="H60" s="68"/>
      <c r="I60" s="68"/>
      <c r="J60" s="46"/>
    </row>
    <row r="61" spans="1:15" ht="15.75" x14ac:dyDescent="0.25">
      <c r="A61" s="185" t="s">
        <v>75</v>
      </c>
      <c r="B61" s="186"/>
      <c r="C61" s="186"/>
      <c r="D61" s="186"/>
      <c r="E61" s="48">
        <f>E62+E63</f>
        <v>1759.6300000000047</v>
      </c>
      <c r="F61" s="45"/>
      <c r="G61" s="19"/>
      <c r="H61" s="32"/>
      <c r="I61" s="19"/>
      <c r="J61" s="50"/>
    </row>
    <row r="62" spans="1:15" ht="15.75" x14ac:dyDescent="0.25">
      <c r="A62" s="55"/>
      <c r="B62" s="180" t="s">
        <v>42</v>
      </c>
      <c r="C62" s="180"/>
      <c r="D62" s="180"/>
      <c r="E62" s="49">
        <v>73327.8</v>
      </c>
      <c r="F62" s="45"/>
      <c r="G62" s="19"/>
      <c r="H62" s="19"/>
      <c r="I62" s="19"/>
      <c r="J62" s="50"/>
    </row>
    <row r="63" spans="1:15" ht="15.75" x14ac:dyDescent="0.25">
      <c r="A63" s="55"/>
      <c r="B63" s="180" t="s">
        <v>41</v>
      </c>
      <c r="C63" s="180"/>
      <c r="D63" s="180"/>
      <c r="E63" s="49">
        <v>-71568.17</v>
      </c>
      <c r="F63" s="45"/>
      <c r="G63" s="68"/>
      <c r="H63" s="68"/>
      <c r="I63" s="68"/>
      <c r="J63" s="46"/>
    </row>
    <row r="64" spans="1:15" ht="15.75" x14ac:dyDescent="0.25">
      <c r="A64" s="177" t="s">
        <v>76</v>
      </c>
      <c r="B64" s="178"/>
      <c r="C64" s="178"/>
      <c r="D64" s="178"/>
      <c r="E64" s="48">
        <f>E65+E66</f>
        <v>1788849.9300000002</v>
      </c>
      <c r="F64" s="45"/>
      <c r="G64" s="68"/>
      <c r="H64" s="179"/>
      <c r="I64" s="179"/>
      <c r="J64" s="46"/>
    </row>
    <row r="65" spans="1:12" ht="15.75" x14ac:dyDescent="0.25">
      <c r="A65" s="55"/>
      <c r="B65" s="180" t="s">
        <v>56</v>
      </c>
      <c r="C65" s="180"/>
      <c r="D65" s="180"/>
      <c r="E65" s="49">
        <f>2319674.58+10830</f>
        <v>2330504.58</v>
      </c>
      <c r="F65" s="45"/>
      <c r="G65" s="68"/>
      <c r="H65" s="68"/>
      <c r="I65" s="68"/>
      <c r="J65" s="46"/>
    </row>
    <row r="66" spans="1:12" ht="15.75" x14ac:dyDescent="0.25">
      <c r="A66" s="55"/>
      <c r="B66" s="180" t="s">
        <v>41</v>
      </c>
      <c r="C66" s="180"/>
      <c r="D66" s="180"/>
      <c r="E66" s="49">
        <v>-541654.65</v>
      </c>
      <c r="F66" s="45"/>
      <c r="G66" s="68"/>
      <c r="H66" s="68"/>
      <c r="I66" s="68"/>
      <c r="J66" s="46"/>
    </row>
    <row r="67" spans="1:12" s="17" customFormat="1" ht="24" customHeight="1" x14ac:dyDescent="0.25">
      <c r="A67" s="181" t="s">
        <v>43</v>
      </c>
      <c r="B67" s="182"/>
      <c r="C67" s="182"/>
      <c r="D67" s="182"/>
      <c r="E67" s="48">
        <f>E53+E39+E12</f>
        <v>172032945.42999998</v>
      </c>
      <c r="F67" s="183" t="s">
        <v>44</v>
      </c>
      <c r="G67" s="184"/>
      <c r="H67" s="184"/>
      <c r="I67" s="184"/>
      <c r="J67" s="48">
        <f>J39+J12+J29+J46</f>
        <v>172032945.42999998</v>
      </c>
      <c r="L67" s="67"/>
    </row>
    <row r="68" spans="1:12" s="17" customFormat="1" ht="16.5" thickBot="1" x14ac:dyDescent="0.3">
      <c r="A68" s="60"/>
      <c r="B68" s="61"/>
      <c r="C68" s="61"/>
      <c r="D68" s="61"/>
      <c r="E68" s="62"/>
      <c r="F68" s="51"/>
      <c r="G68" s="52"/>
      <c r="H68" s="52"/>
      <c r="I68" s="52"/>
      <c r="J68" s="53"/>
    </row>
    <row r="69" spans="1:12" ht="21" customHeight="1" x14ac:dyDescent="0.2">
      <c r="A69" s="54"/>
      <c r="B69" s="35"/>
      <c r="C69" s="35"/>
      <c r="D69" s="35"/>
      <c r="E69" s="35"/>
      <c r="F69" s="35"/>
      <c r="G69" s="35"/>
      <c r="H69" s="35"/>
      <c r="I69" s="35"/>
      <c r="J69" s="36"/>
    </row>
    <row r="70" spans="1:12" ht="15.75" x14ac:dyDescent="0.2">
      <c r="A70" s="20"/>
      <c r="B70" s="21"/>
      <c r="C70" s="21"/>
      <c r="D70" s="21"/>
      <c r="E70" s="21"/>
      <c r="F70" s="21"/>
      <c r="G70" s="21"/>
      <c r="H70" s="21"/>
      <c r="I70" s="21"/>
      <c r="J70" s="22"/>
    </row>
    <row r="71" spans="1:12" ht="15.75" x14ac:dyDescent="0.2">
      <c r="A71" s="173" t="s">
        <v>45</v>
      </c>
      <c r="B71" s="174"/>
      <c r="C71" s="174"/>
      <c r="D71" s="174"/>
      <c r="E71" s="174"/>
      <c r="F71" s="174" t="s">
        <v>46</v>
      </c>
      <c r="G71" s="174"/>
      <c r="H71" s="174"/>
      <c r="I71" s="174"/>
      <c r="J71" s="175"/>
    </row>
    <row r="72" spans="1:12" ht="15.75" x14ac:dyDescent="0.25">
      <c r="A72" s="163" t="s">
        <v>61</v>
      </c>
      <c r="B72" s="164"/>
      <c r="C72" s="164"/>
      <c r="D72" s="164"/>
      <c r="E72" s="164"/>
      <c r="F72" s="176"/>
      <c r="G72" s="176"/>
      <c r="H72" s="176"/>
      <c r="I72" s="176"/>
      <c r="J72" s="23"/>
    </row>
    <row r="73" spans="1:12" ht="15.75" x14ac:dyDescent="0.25">
      <c r="A73" s="163" t="s">
        <v>59</v>
      </c>
      <c r="B73" s="164"/>
      <c r="C73" s="164"/>
      <c r="D73" s="164"/>
      <c r="E73" s="164"/>
      <c r="F73" s="164" t="s">
        <v>47</v>
      </c>
      <c r="G73" s="164"/>
      <c r="H73" s="164"/>
      <c r="I73" s="164"/>
      <c r="J73" s="165"/>
    </row>
    <row r="74" spans="1:12" ht="15.75" x14ac:dyDescent="0.25">
      <c r="A74" s="163" t="s">
        <v>62</v>
      </c>
      <c r="B74" s="164"/>
      <c r="C74" s="164"/>
      <c r="D74" s="164"/>
      <c r="E74" s="164"/>
      <c r="F74" s="164" t="s">
        <v>48</v>
      </c>
      <c r="G74" s="164"/>
      <c r="H74" s="164"/>
      <c r="I74" s="164"/>
      <c r="J74" s="165"/>
      <c r="K74" s="24"/>
    </row>
    <row r="75" spans="1:12" ht="15.75" x14ac:dyDescent="0.25">
      <c r="A75" s="163" t="s">
        <v>49</v>
      </c>
      <c r="B75" s="164"/>
      <c r="C75" s="164"/>
      <c r="D75" s="164"/>
      <c r="E75" s="164"/>
      <c r="F75" s="164" t="s">
        <v>50</v>
      </c>
      <c r="G75" s="164"/>
      <c r="H75" s="164"/>
      <c r="I75" s="164"/>
      <c r="J75" s="165"/>
    </row>
    <row r="76" spans="1:12" ht="15.75" x14ac:dyDescent="0.25">
      <c r="A76" s="163" t="s">
        <v>64</v>
      </c>
      <c r="B76" s="164"/>
      <c r="C76" s="164"/>
      <c r="D76" s="164"/>
      <c r="E76" s="164"/>
      <c r="F76" s="169"/>
      <c r="G76" s="169"/>
      <c r="H76" s="169"/>
      <c r="I76" s="169"/>
      <c r="J76" s="170"/>
    </row>
    <row r="77" spans="1:12" ht="15.75" x14ac:dyDescent="0.25">
      <c r="A77" s="163" t="s">
        <v>65</v>
      </c>
      <c r="B77" s="164"/>
      <c r="C77" s="164"/>
      <c r="D77" s="164"/>
      <c r="E77" s="164"/>
      <c r="F77" s="171" t="s">
        <v>51</v>
      </c>
      <c r="G77" s="171"/>
      <c r="H77" s="171"/>
      <c r="I77" s="171"/>
      <c r="J77" s="172"/>
    </row>
    <row r="78" spans="1:12" ht="15.75" x14ac:dyDescent="0.25">
      <c r="A78" s="163" t="s">
        <v>60</v>
      </c>
      <c r="B78" s="164"/>
      <c r="C78" s="164"/>
      <c r="D78" s="164"/>
      <c r="E78" s="164"/>
      <c r="F78" s="164" t="s">
        <v>52</v>
      </c>
      <c r="G78" s="164"/>
      <c r="H78" s="164"/>
      <c r="I78" s="164"/>
      <c r="J78" s="165"/>
    </row>
    <row r="79" spans="1:12" ht="16.5" thickBot="1" x14ac:dyDescent="0.3">
      <c r="A79" s="166" t="s">
        <v>53</v>
      </c>
      <c r="B79" s="167"/>
      <c r="C79" s="167"/>
      <c r="D79" s="167"/>
      <c r="E79" s="167"/>
      <c r="F79" s="167" t="s">
        <v>54</v>
      </c>
      <c r="G79" s="167"/>
      <c r="H79" s="167"/>
      <c r="I79" s="167"/>
      <c r="J79" s="168"/>
    </row>
    <row r="80" spans="1:12" ht="13.5" thickTop="1" x14ac:dyDescent="0.2"/>
    <row r="81" spans="1: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4" spans="1:10" x14ac:dyDescent="0.2">
      <c r="F84" s="27"/>
    </row>
    <row r="86" spans="1:10" x14ac:dyDescent="0.2">
      <c r="J86" s="28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O86"/>
  <sheetViews>
    <sheetView topLeftCell="A33" workbookViewId="0">
      <selection activeCell="H63" sqref="H63"/>
    </sheetView>
  </sheetViews>
  <sheetFormatPr defaultRowHeight="12.75" x14ac:dyDescent="0.2"/>
  <cols>
    <col min="1" max="1" width="4.85546875" style="5" customWidth="1"/>
    <col min="2" max="2" width="11.42578125" style="5" customWidth="1"/>
    <col min="3" max="3" width="10.85546875" style="5" customWidth="1"/>
    <col min="4" max="4" width="18.140625" style="7" customWidth="1"/>
    <col min="5" max="5" width="20.140625" style="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7" customWidth="1"/>
    <col min="10" max="10" width="27.5703125" style="25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4"/>
      <c r="E2" s="8" t="s">
        <v>0</v>
      </c>
      <c r="F2" s="9"/>
      <c r="G2" s="9"/>
      <c r="H2" s="9"/>
      <c r="I2" s="9"/>
      <c r="J2" s="10"/>
      <c r="K2" s="9"/>
      <c r="L2" s="9"/>
      <c r="M2" s="9"/>
      <c r="N2" s="9"/>
    </row>
    <row r="3" spans="1:14" x14ac:dyDescent="0.2">
      <c r="A3" s="6"/>
      <c r="E3" s="11" t="s">
        <v>1</v>
      </c>
      <c r="F3" s="12"/>
      <c r="G3" s="12"/>
      <c r="H3" s="12"/>
      <c r="I3" s="12"/>
      <c r="J3" s="13"/>
      <c r="K3" s="12"/>
      <c r="L3" s="12"/>
      <c r="M3" s="12"/>
      <c r="N3" s="12"/>
    </row>
    <row r="4" spans="1:14" x14ac:dyDescent="0.2">
      <c r="A4" s="6"/>
      <c r="B4" s="193"/>
      <c r="C4" s="193"/>
      <c r="D4" s="66"/>
      <c r="E4" s="11" t="s">
        <v>2</v>
      </c>
      <c r="F4" s="12"/>
      <c r="G4" s="12"/>
      <c r="H4" s="12"/>
      <c r="I4" s="12"/>
      <c r="J4" s="13"/>
      <c r="K4" s="12"/>
      <c r="L4" s="12"/>
      <c r="M4" s="12"/>
      <c r="N4" s="12"/>
    </row>
    <row r="5" spans="1:14" ht="15" x14ac:dyDescent="0.25">
      <c r="A5" s="14"/>
      <c r="B5" s="193"/>
      <c r="C5" s="193"/>
      <c r="D5" s="76"/>
      <c r="E5" s="11" t="s">
        <v>3</v>
      </c>
      <c r="F5" s="12"/>
      <c r="G5" s="12"/>
      <c r="H5" s="12"/>
      <c r="I5" s="12"/>
      <c r="J5" s="13"/>
      <c r="K5" s="12"/>
      <c r="L5" s="12"/>
      <c r="M5" s="12"/>
      <c r="N5" s="12"/>
    </row>
    <row r="6" spans="1:14" ht="15.75" customHeight="1" x14ac:dyDescent="0.2">
      <c r="A6" s="194"/>
      <c r="B6" s="195"/>
      <c r="C6" s="195"/>
      <c r="D6" s="195"/>
      <c r="E6" s="195"/>
      <c r="J6" s="15"/>
    </row>
    <row r="7" spans="1:14" ht="24" customHeight="1" x14ac:dyDescent="0.2">
      <c r="A7" s="30"/>
      <c r="B7" s="31"/>
      <c r="C7" s="31"/>
      <c r="D7" s="31"/>
      <c r="E7" s="31"/>
      <c r="J7" s="15"/>
    </row>
    <row r="8" spans="1:14" ht="20.25" customHeight="1" x14ac:dyDescent="0.2">
      <c r="A8" s="196" t="s">
        <v>80</v>
      </c>
      <c r="B8" s="197"/>
      <c r="C8" s="197"/>
      <c r="D8" s="197"/>
      <c r="E8" s="197"/>
      <c r="F8" s="197"/>
      <c r="G8" s="197"/>
      <c r="H8" s="197"/>
      <c r="I8" s="197"/>
      <c r="J8" s="198"/>
    </row>
    <row r="9" spans="1:14" ht="15" customHeight="1" thickBot="1" x14ac:dyDescent="0.25">
      <c r="A9" s="196"/>
      <c r="B9" s="197"/>
      <c r="C9" s="197"/>
      <c r="D9" s="197"/>
      <c r="E9" s="197"/>
      <c r="F9" s="197"/>
      <c r="G9" s="197"/>
      <c r="H9" s="197"/>
      <c r="I9" s="197"/>
      <c r="J9" s="198"/>
    </row>
    <row r="10" spans="1:14" s="16" customFormat="1" ht="25.5" customHeight="1" thickBot="1" x14ac:dyDescent="0.35">
      <c r="A10" s="199" t="s">
        <v>4</v>
      </c>
      <c r="B10" s="200"/>
      <c r="C10" s="200"/>
      <c r="D10" s="200"/>
      <c r="E10" s="200"/>
      <c r="F10" s="199" t="s">
        <v>5</v>
      </c>
      <c r="G10" s="200"/>
      <c r="H10" s="200"/>
      <c r="I10" s="200"/>
      <c r="J10" s="201"/>
    </row>
    <row r="11" spans="1:14" s="16" customFormat="1" ht="19.5" customHeight="1" x14ac:dyDescent="0.25">
      <c r="A11" s="37"/>
      <c r="B11" s="38"/>
      <c r="C11" s="38"/>
      <c r="D11" s="38"/>
      <c r="E11" s="39"/>
      <c r="F11" s="37"/>
      <c r="G11" s="38"/>
      <c r="H11" s="38"/>
      <c r="I11" s="38"/>
      <c r="J11" s="39"/>
    </row>
    <row r="12" spans="1:14" s="17" customFormat="1" ht="15.75" x14ac:dyDescent="0.25">
      <c r="A12" s="181" t="s">
        <v>6</v>
      </c>
      <c r="B12" s="182"/>
      <c r="C12" s="182"/>
      <c r="D12" s="182"/>
      <c r="E12" s="48">
        <f>SUM(E14+E16+E19+E22+E28+E31+E35)</f>
        <v>141016661.22</v>
      </c>
      <c r="F12" s="202" t="s">
        <v>7</v>
      </c>
      <c r="G12" s="203"/>
      <c r="H12" s="203"/>
      <c r="I12" s="203"/>
      <c r="J12" s="40">
        <f>J16+J20</f>
        <v>38770740</v>
      </c>
    </row>
    <row r="13" spans="1:14" s="17" customFormat="1" ht="15.75" x14ac:dyDescent="0.25">
      <c r="A13" s="74"/>
      <c r="B13" s="72"/>
      <c r="C13" s="72"/>
      <c r="D13" s="72"/>
      <c r="E13" s="49"/>
      <c r="F13" s="75"/>
      <c r="G13" s="70"/>
      <c r="H13" s="70"/>
      <c r="I13" s="70"/>
      <c r="J13" s="41"/>
    </row>
    <row r="14" spans="1:14" s="17" customFormat="1" ht="15.75" x14ac:dyDescent="0.25">
      <c r="A14" s="185" t="s">
        <v>8</v>
      </c>
      <c r="B14" s="186"/>
      <c r="C14" s="186"/>
      <c r="D14" s="186"/>
      <c r="E14" s="49">
        <f>85136.84-305.67</f>
        <v>84831.17</v>
      </c>
      <c r="F14" s="75"/>
      <c r="G14" s="204"/>
      <c r="H14" s="204"/>
      <c r="I14" s="204"/>
      <c r="J14" s="41"/>
    </row>
    <row r="15" spans="1:14" s="17" customFormat="1" ht="15.75" x14ac:dyDescent="0.25">
      <c r="A15" s="55"/>
      <c r="B15" s="72"/>
      <c r="C15" s="72"/>
      <c r="D15" s="72"/>
      <c r="E15" s="49"/>
      <c r="F15" s="205"/>
      <c r="G15" s="206"/>
      <c r="H15" s="206"/>
      <c r="I15" s="206"/>
      <c r="J15" s="207"/>
    </row>
    <row r="16" spans="1:14" s="17" customFormat="1" ht="15.75" x14ac:dyDescent="0.25">
      <c r="A16" s="185" t="s">
        <v>9</v>
      </c>
      <c r="B16" s="186"/>
      <c r="C16" s="186"/>
      <c r="D16" s="186"/>
      <c r="E16" s="48">
        <f>SUM(E17)</f>
        <v>30682425.609999999</v>
      </c>
      <c r="F16" s="190" t="s">
        <v>10</v>
      </c>
      <c r="G16" s="191"/>
      <c r="H16" s="191"/>
      <c r="I16" s="191"/>
      <c r="J16" s="42">
        <f>SUM(J17+J18)</f>
        <v>2002429.4100000001</v>
      </c>
    </row>
    <row r="17" spans="1:10" ht="15.75" x14ac:dyDescent="0.25">
      <c r="A17" s="55"/>
      <c r="B17" s="180" t="s">
        <v>11</v>
      </c>
      <c r="C17" s="180"/>
      <c r="D17" s="180"/>
      <c r="E17" s="49">
        <v>30682425.609999999</v>
      </c>
      <c r="F17" s="75"/>
      <c r="G17" s="69" t="s">
        <v>12</v>
      </c>
      <c r="H17" s="29" t="s">
        <v>63</v>
      </c>
      <c r="I17" s="29"/>
      <c r="J17" s="43">
        <v>1532028.81</v>
      </c>
    </row>
    <row r="18" spans="1:10" ht="15.75" x14ac:dyDescent="0.25">
      <c r="A18" s="55"/>
      <c r="B18" s="72"/>
      <c r="C18" s="72"/>
      <c r="D18" s="72"/>
      <c r="E18" s="49"/>
      <c r="F18" s="75"/>
      <c r="G18" s="69"/>
      <c r="H18" s="69" t="s">
        <v>12</v>
      </c>
      <c r="I18" s="29"/>
      <c r="J18" s="43">
        <v>470400.6</v>
      </c>
    </row>
    <row r="19" spans="1:10" ht="15.75" x14ac:dyDescent="0.25">
      <c r="A19" s="185" t="s">
        <v>13</v>
      </c>
      <c r="B19" s="186"/>
      <c r="C19" s="186"/>
      <c r="D19" s="186"/>
      <c r="E19" s="48">
        <f>SUM(E20)</f>
        <v>58947774.100000001</v>
      </c>
      <c r="F19" s="75"/>
      <c r="G19" s="70"/>
      <c r="H19" s="69"/>
      <c r="I19" s="70"/>
      <c r="J19" s="43"/>
    </row>
    <row r="20" spans="1:10" ht="15.75" x14ac:dyDescent="0.25">
      <c r="A20" s="55"/>
      <c r="B20" s="180" t="s">
        <v>14</v>
      </c>
      <c r="C20" s="180"/>
      <c r="D20" s="180"/>
      <c r="E20" s="49">
        <v>58947774.100000001</v>
      </c>
      <c r="F20" s="190" t="s">
        <v>15</v>
      </c>
      <c r="G20" s="191"/>
      <c r="H20" s="191"/>
      <c r="I20" s="191"/>
      <c r="J20" s="42">
        <f>SUM(J21:J23)</f>
        <v>36768310.589999996</v>
      </c>
    </row>
    <row r="21" spans="1:10" ht="15.75" x14ac:dyDescent="0.25">
      <c r="A21" s="55"/>
      <c r="B21" s="182"/>
      <c r="C21" s="182"/>
      <c r="D21" s="182"/>
      <c r="E21" s="48"/>
      <c r="F21" s="44"/>
      <c r="G21" s="192" t="s">
        <v>16</v>
      </c>
      <c r="H21" s="192"/>
      <c r="I21" s="192"/>
      <c r="J21" s="43">
        <v>1922631.44</v>
      </c>
    </row>
    <row r="22" spans="1:10" ht="15.75" x14ac:dyDescent="0.25">
      <c r="A22" s="185" t="s">
        <v>17</v>
      </c>
      <c r="B22" s="186"/>
      <c r="C22" s="186"/>
      <c r="D22" s="186"/>
      <c r="E22" s="48">
        <f>E23+E24+E25+E26</f>
        <v>35753980.430000007</v>
      </c>
      <c r="F22" s="44"/>
      <c r="G22" s="69" t="s">
        <v>18</v>
      </c>
      <c r="H22" s="69" t="s">
        <v>18</v>
      </c>
      <c r="I22" s="69"/>
      <c r="J22" s="43">
        <v>710546.1</v>
      </c>
    </row>
    <row r="23" spans="1:10" ht="15.75" x14ac:dyDescent="0.25">
      <c r="A23" s="55"/>
      <c r="B23" s="180" t="s">
        <v>19</v>
      </c>
      <c r="C23" s="180"/>
      <c r="D23" s="180"/>
      <c r="E23" s="49">
        <f>3457630.9+16217430.27+1364114.61+1576750.21+777127.83+477420.03+408547.69+2401951.24</f>
        <v>26680972.780000001</v>
      </c>
      <c r="F23" s="44"/>
      <c r="G23" s="69" t="s">
        <v>20</v>
      </c>
      <c r="H23" s="69" t="s">
        <v>20</v>
      </c>
      <c r="I23" s="69"/>
      <c r="J23" s="43">
        <f>16995.69+34118137.36</f>
        <v>34135133.049999997</v>
      </c>
    </row>
    <row r="24" spans="1:10" ht="15.75" x14ac:dyDescent="0.25">
      <c r="A24" s="55"/>
      <c r="B24" s="187" t="s">
        <v>21</v>
      </c>
      <c r="C24" s="187"/>
      <c r="D24" s="187"/>
      <c r="E24" s="49">
        <f>2688256.73+5446737.32+1001065.5+613619.56+821082.62+196369.31+158890.99+630251.78+374748.89+1500734.25+146181.64+21815.68+161345.19</f>
        <v>13761099.460000001</v>
      </c>
      <c r="F24" s="44"/>
      <c r="G24" s="70"/>
      <c r="H24" s="69"/>
      <c r="I24" s="18"/>
      <c r="J24" s="43"/>
    </row>
    <row r="25" spans="1:10" ht="15.75" x14ac:dyDescent="0.25">
      <c r="A25" s="57"/>
      <c r="B25" s="187" t="s">
        <v>66</v>
      </c>
      <c r="C25" s="187"/>
      <c r="D25" s="187"/>
      <c r="E25" s="49">
        <f>58227.86+45929.25+98913.95</f>
        <v>203071.06</v>
      </c>
      <c r="F25" s="45"/>
      <c r="G25" s="68"/>
      <c r="H25" s="68"/>
      <c r="I25" s="68"/>
      <c r="J25" s="46"/>
    </row>
    <row r="26" spans="1:10" ht="15.75" x14ac:dyDescent="0.25">
      <c r="A26" s="55"/>
      <c r="B26" s="187" t="s">
        <v>22</v>
      </c>
      <c r="C26" s="187"/>
      <c r="D26" s="187"/>
      <c r="E26" s="49">
        <f>-17288.14-162174.23-40923.44-157674.95-233138.22-238709.93-285983.23-2401949.78-13441.27-54467.29-30031.93-61361.88-246324.36-98184.54-111223.57-630251.12-1873.73-15007.27-4385.42-2181.56-80672.58-291.14-459.29-2967.41-196.59</f>
        <v>-4891162.8699999992</v>
      </c>
      <c r="F26" s="45"/>
      <c r="G26" s="68"/>
      <c r="H26" s="68"/>
      <c r="I26" s="68"/>
      <c r="J26" s="46"/>
    </row>
    <row r="27" spans="1:10" ht="15.75" x14ac:dyDescent="0.25">
      <c r="A27" s="55"/>
      <c r="B27" s="18"/>
      <c r="C27" s="18"/>
      <c r="D27" s="33"/>
      <c r="E27" s="49"/>
      <c r="F27" s="45"/>
      <c r="G27" s="19"/>
      <c r="H27" s="19"/>
      <c r="I27" s="19"/>
      <c r="J27" s="46"/>
    </row>
    <row r="28" spans="1:10" ht="15.75" x14ac:dyDescent="0.25">
      <c r="A28" s="185" t="s">
        <v>23</v>
      </c>
      <c r="B28" s="186"/>
      <c r="C28" s="186"/>
      <c r="D28" s="186"/>
      <c r="E28" s="48">
        <f>E29</f>
        <v>15216068.57</v>
      </c>
      <c r="F28" s="47" t="s">
        <v>55</v>
      </c>
      <c r="G28" s="19"/>
      <c r="H28" s="19"/>
      <c r="I28" s="19"/>
      <c r="J28" s="46"/>
    </row>
    <row r="29" spans="1:10" ht="15.75" x14ac:dyDescent="0.25">
      <c r="A29" s="55"/>
      <c r="B29" s="187" t="s">
        <v>24</v>
      </c>
      <c r="C29" s="187"/>
      <c r="D29" s="187"/>
      <c r="E29" s="49">
        <f>20427625.07-5211556.5</f>
        <v>15216068.57</v>
      </c>
      <c r="F29" s="188" t="s">
        <v>25</v>
      </c>
      <c r="G29" s="189"/>
      <c r="H29" s="189"/>
      <c r="I29" s="189"/>
      <c r="J29" s="48">
        <f>J33</f>
        <v>21227409.120000001</v>
      </c>
    </row>
    <row r="30" spans="1:10" ht="15.75" x14ac:dyDescent="0.25">
      <c r="A30" s="55"/>
      <c r="B30" s="18"/>
      <c r="C30" s="18"/>
      <c r="D30" s="33"/>
      <c r="E30" s="49"/>
      <c r="F30" s="45"/>
      <c r="G30" s="19"/>
      <c r="H30" s="19"/>
      <c r="I30" s="19"/>
      <c r="J30" s="49"/>
    </row>
    <row r="31" spans="1:10" ht="15.75" hidden="1" x14ac:dyDescent="0.25">
      <c r="A31" s="185"/>
      <c r="B31" s="186"/>
      <c r="C31" s="186"/>
      <c r="D31" s="186"/>
      <c r="E31" s="48"/>
      <c r="F31" s="45"/>
      <c r="G31" s="19"/>
      <c r="H31" s="19"/>
      <c r="I31" s="19"/>
      <c r="J31" s="49"/>
    </row>
    <row r="32" spans="1:10" ht="15.75" hidden="1" x14ac:dyDescent="0.25">
      <c r="A32" s="56"/>
      <c r="B32" s="180"/>
      <c r="C32" s="180"/>
      <c r="D32" s="71"/>
      <c r="E32" s="63"/>
      <c r="F32" s="64"/>
      <c r="G32" s="65"/>
      <c r="H32" s="65"/>
      <c r="I32" s="65"/>
      <c r="J32" s="63"/>
    </row>
    <row r="33" spans="1:15" ht="15.75" x14ac:dyDescent="0.25">
      <c r="A33" s="56"/>
      <c r="B33" s="180"/>
      <c r="C33" s="180"/>
      <c r="D33" s="71"/>
      <c r="E33" s="63"/>
      <c r="F33" s="188" t="s">
        <v>10</v>
      </c>
      <c r="G33" s="189"/>
      <c r="H33" s="189"/>
      <c r="I33" s="189"/>
      <c r="J33" s="48">
        <f>SUM(J34+J35)</f>
        <v>21227409.120000001</v>
      </c>
    </row>
    <row r="34" spans="1:15" ht="15.75" x14ac:dyDescent="0.25">
      <c r="A34" s="55"/>
      <c r="B34" s="18"/>
      <c r="C34" s="73"/>
      <c r="D34" s="73"/>
      <c r="E34" s="49"/>
      <c r="F34" s="45"/>
      <c r="G34" s="19" t="s">
        <v>57</v>
      </c>
      <c r="H34" s="19" t="s">
        <v>57</v>
      </c>
      <c r="I34" s="19"/>
      <c r="J34" s="49">
        <v>16407905.23</v>
      </c>
    </row>
    <row r="35" spans="1:15" ht="15.75" x14ac:dyDescent="0.25">
      <c r="A35" s="185" t="s">
        <v>26</v>
      </c>
      <c r="B35" s="186"/>
      <c r="C35" s="186"/>
      <c r="D35" s="186"/>
      <c r="E35" s="48">
        <f>E36</f>
        <v>331581.34000000003</v>
      </c>
      <c r="F35" s="64"/>
      <c r="G35" s="65"/>
      <c r="H35" s="19" t="s">
        <v>12</v>
      </c>
      <c r="I35" s="19"/>
      <c r="J35" s="49">
        <v>4819503.8899999997</v>
      </c>
    </row>
    <row r="36" spans="1:15" ht="15.75" x14ac:dyDescent="0.25">
      <c r="A36" s="55"/>
      <c r="B36" s="187" t="s">
        <v>27</v>
      </c>
      <c r="C36" s="187"/>
      <c r="D36" s="187"/>
      <c r="E36" s="49">
        <v>331581.34000000003</v>
      </c>
      <c r="F36" s="45"/>
      <c r="G36" s="19"/>
      <c r="H36" s="19"/>
      <c r="I36" s="19"/>
      <c r="J36" s="46"/>
    </row>
    <row r="37" spans="1:15" ht="15.75" x14ac:dyDescent="0.25">
      <c r="A37" s="55"/>
      <c r="B37" s="73"/>
      <c r="C37" s="73"/>
      <c r="D37" s="73"/>
      <c r="E37" s="49"/>
      <c r="F37" s="45"/>
      <c r="G37" s="19"/>
      <c r="H37" s="19"/>
      <c r="I37" s="19"/>
      <c r="J37" s="46"/>
    </row>
    <row r="38" spans="1:15" ht="15.75" x14ac:dyDescent="0.25">
      <c r="A38" s="57" t="s">
        <v>55</v>
      </c>
      <c r="B38" s="73"/>
      <c r="C38" s="73"/>
      <c r="D38" s="73"/>
      <c r="E38" s="49"/>
      <c r="F38" s="45"/>
      <c r="G38" s="19"/>
      <c r="H38" s="19"/>
      <c r="I38" s="19"/>
      <c r="J38" s="46"/>
    </row>
    <row r="39" spans="1:15" ht="15.75" x14ac:dyDescent="0.25">
      <c r="A39" s="58" t="s">
        <v>28</v>
      </c>
      <c r="B39" s="18"/>
      <c r="C39" s="18"/>
      <c r="D39" s="33"/>
      <c r="E39" s="48">
        <f>E41+E50</f>
        <v>54157122.820000015</v>
      </c>
      <c r="F39" s="183" t="s">
        <v>29</v>
      </c>
      <c r="G39" s="184"/>
      <c r="H39" s="184"/>
      <c r="I39" s="19"/>
      <c r="J39" s="48">
        <f>SUM(J40:J42)</f>
        <v>140691329.16</v>
      </c>
    </row>
    <row r="40" spans="1:15" ht="15.75" x14ac:dyDescent="0.25">
      <c r="A40" s="59"/>
      <c r="B40" s="18"/>
      <c r="C40" s="18"/>
      <c r="D40" s="33"/>
      <c r="E40" s="48"/>
      <c r="F40" s="45"/>
      <c r="G40" s="179" t="s">
        <v>30</v>
      </c>
      <c r="H40" s="179"/>
      <c r="I40" s="179"/>
      <c r="J40" s="49">
        <v>133378731.77</v>
      </c>
    </row>
    <row r="41" spans="1:15" ht="15.75" x14ac:dyDescent="0.25">
      <c r="A41" s="185" t="s">
        <v>81</v>
      </c>
      <c r="B41" s="186"/>
      <c r="C41" s="186"/>
      <c r="D41" s="186"/>
      <c r="E41" s="48">
        <f>E42+E43+E44+E45</f>
        <v>48945566.320000015</v>
      </c>
      <c r="F41" s="45"/>
      <c r="G41" s="179" t="s">
        <v>32</v>
      </c>
      <c r="H41" s="179"/>
      <c r="I41" s="179"/>
      <c r="J41" s="49">
        <v>7312597.3899999997</v>
      </c>
    </row>
    <row r="42" spans="1:15" ht="15.75" x14ac:dyDescent="0.25">
      <c r="A42" s="57"/>
      <c r="B42" s="180" t="s">
        <v>19</v>
      </c>
      <c r="C42" s="180"/>
      <c r="D42" s="180"/>
      <c r="E42" s="49">
        <f>2160546.27+8641096.46+459599.16+941350.91+485802.37+115692.5+119531.8+1007828.41</f>
        <v>13931447.880000001</v>
      </c>
      <c r="F42" s="45"/>
      <c r="G42" s="179"/>
      <c r="H42" s="179"/>
      <c r="I42" s="179"/>
      <c r="J42" s="49"/>
    </row>
    <row r="43" spans="1:15" ht="15.75" x14ac:dyDescent="0.25">
      <c r="A43" s="57"/>
      <c r="B43" s="187" t="s">
        <v>21</v>
      </c>
      <c r="C43" s="187"/>
      <c r="D43" s="187"/>
      <c r="E43" s="49">
        <f>6632298.03+11190462.96+1687788.9+671529.25+1473862.69+221304.22+221650.55+659699.99+2172958.42+9955703.8+1560276.09+90351.5+204428.95</f>
        <v>36742315.350000009</v>
      </c>
      <c r="F43" s="45"/>
      <c r="G43" s="68"/>
      <c r="H43" s="68"/>
      <c r="I43" s="68"/>
      <c r="J43" s="46"/>
    </row>
    <row r="44" spans="1:15" ht="15.75" x14ac:dyDescent="0.25">
      <c r="A44" s="57"/>
      <c r="B44" s="187" t="s">
        <v>66</v>
      </c>
      <c r="C44" s="187"/>
      <c r="D44" s="187"/>
      <c r="E44" s="49">
        <f>811642.09+672354.98+204118.71</f>
        <v>1688115.7799999998</v>
      </c>
      <c r="F44" s="45"/>
      <c r="G44" s="68"/>
      <c r="H44" s="68"/>
      <c r="I44" s="68"/>
      <c r="J44" s="46"/>
    </row>
    <row r="45" spans="1:15" ht="15.75" x14ac:dyDescent="0.25">
      <c r="A45" s="57"/>
      <c r="B45" s="187" t="s">
        <v>22</v>
      </c>
      <c r="C45" s="187"/>
      <c r="D45" s="187"/>
      <c r="E45" s="49">
        <f>-10802.72-86411.09-13788-94135.17-145740.85-57846.41-83672.42-1007829.87-33161.51-111904.75-50633.7-67153.02-442159.24-110652.26-155155.52-659700.65-10864.8-99557.11-46808.31-9035.16-102214.49-4058.21-6723.55-6123.57-180.31</f>
        <v>-3416312.6899999995</v>
      </c>
      <c r="F45" s="45"/>
      <c r="G45" s="19"/>
      <c r="H45" s="19"/>
      <c r="I45" s="19"/>
      <c r="J45" s="50"/>
    </row>
    <row r="46" spans="1:15" ht="15" customHeight="1" x14ac:dyDescent="0.25">
      <c r="A46" s="185"/>
      <c r="B46" s="186"/>
      <c r="C46" s="186"/>
      <c r="D46" s="186"/>
      <c r="E46" s="48"/>
      <c r="F46" s="47" t="s">
        <v>33</v>
      </c>
      <c r="G46" s="77"/>
      <c r="H46" s="77"/>
      <c r="I46" s="77"/>
      <c r="J46" s="48">
        <f>SUM(J49:J54)</f>
        <v>792339.38999999943</v>
      </c>
      <c r="K46" s="45"/>
      <c r="L46" s="19"/>
      <c r="M46" s="19"/>
      <c r="N46" s="19"/>
      <c r="O46" s="19"/>
    </row>
    <row r="47" spans="1:15" ht="15.75" hidden="1" customHeight="1" x14ac:dyDescent="0.25">
      <c r="A47" s="57"/>
      <c r="B47" s="187"/>
      <c r="C47" s="187"/>
      <c r="D47" s="187"/>
      <c r="E47" s="49"/>
      <c r="F47" s="45"/>
      <c r="G47" s="179" t="s">
        <v>34</v>
      </c>
      <c r="H47" s="179"/>
      <c r="I47" s="179"/>
      <c r="J47" s="49">
        <v>11155142.77</v>
      </c>
      <c r="K47" s="45"/>
      <c r="L47" s="179"/>
      <c r="M47" s="179"/>
      <c r="N47" s="179"/>
      <c r="O47" s="78"/>
    </row>
    <row r="48" spans="1:15" ht="15.75" hidden="1" customHeight="1" x14ac:dyDescent="0.25">
      <c r="A48" s="57"/>
      <c r="B48" s="73"/>
      <c r="C48" s="73"/>
      <c r="D48" s="73"/>
      <c r="E48" s="49"/>
      <c r="F48" s="45"/>
      <c r="G48" s="179" t="s">
        <v>35</v>
      </c>
      <c r="H48" s="179"/>
      <c r="I48" s="179"/>
      <c r="J48" s="49">
        <v>-10361959.039999999</v>
      </c>
      <c r="K48" s="45"/>
      <c r="L48" s="68"/>
      <c r="M48" s="68"/>
      <c r="N48" s="68"/>
      <c r="O48" s="78"/>
    </row>
    <row r="49" spans="1:15" ht="15.75" x14ac:dyDescent="0.25">
      <c r="A49" s="57"/>
      <c r="B49" s="187"/>
      <c r="C49" s="187"/>
      <c r="D49" s="187"/>
      <c r="E49" s="49"/>
      <c r="F49" s="45"/>
      <c r="G49" s="179" t="s">
        <v>34</v>
      </c>
      <c r="H49" s="179"/>
      <c r="I49" s="179"/>
      <c r="J49" s="49">
        <v>12182158.49</v>
      </c>
      <c r="K49" s="47"/>
      <c r="L49" s="77"/>
      <c r="M49" s="77"/>
      <c r="N49" s="77"/>
      <c r="O49" s="79"/>
    </row>
    <row r="50" spans="1:15" ht="15.75" x14ac:dyDescent="0.25">
      <c r="A50" s="185" t="s">
        <v>23</v>
      </c>
      <c r="B50" s="186"/>
      <c r="C50" s="186"/>
      <c r="D50" s="186"/>
      <c r="E50" s="48">
        <f>E51+E52</f>
        <v>5211556.5</v>
      </c>
      <c r="F50" s="45"/>
      <c r="G50" s="179" t="s">
        <v>73</v>
      </c>
      <c r="H50" s="179"/>
      <c r="I50" s="179"/>
      <c r="J50" s="49">
        <v>-11639439.050000001</v>
      </c>
      <c r="K50" s="45"/>
      <c r="L50" s="179"/>
      <c r="M50" s="179"/>
      <c r="N50" s="179"/>
      <c r="O50" s="80"/>
    </row>
    <row r="51" spans="1:15" ht="15.75" x14ac:dyDescent="0.25">
      <c r="A51" s="57"/>
      <c r="B51" s="187" t="s">
        <v>58</v>
      </c>
      <c r="C51" s="187"/>
      <c r="D51" s="187"/>
      <c r="E51" s="49">
        <v>5211556.5</v>
      </c>
      <c r="F51" s="45"/>
      <c r="G51" s="179" t="s">
        <v>36</v>
      </c>
      <c r="H51" s="179"/>
      <c r="I51" s="179"/>
      <c r="J51" s="49">
        <v>0</v>
      </c>
      <c r="K51" s="45"/>
      <c r="L51" s="179"/>
      <c r="M51" s="179"/>
      <c r="N51" s="179"/>
      <c r="O51" s="80"/>
    </row>
    <row r="52" spans="1:15" ht="15.75" x14ac:dyDescent="0.25">
      <c r="A52" s="57"/>
      <c r="B52" s="187"/>
      <c r="C52" s="187"/>
      <c r="D52" s="187"/>
      <c r="E52" s="49"/>
      <c r="F52" s="45"/>
      <c r="G52" s="179" t="s">
        <v>74</v>
      </c>
      <c r="H52" s="179"/>
      <c r="I52" s="179"/>
      <c r="J52" s="49">
        <v>-2207.2399999999998</v>
      </c>
      <c r="K52" s="45"/>
      <c r="L52" s="179"/>
      <c r="M52" s="179"/>
      <c r="N52" s="179"/>
      <c r="O52" s="80"/>
    </row>
    <row r="53" spans="1:15" s="17" customFormat="1" ht="15.75" x14ac:dyDescent="0.25">
      <c r="A53" s="181" t="s">
        <v>37</v>
      </c>
      <c r="B53" s="182"/>
      <c r="C53" s="182"/>
      <c r="D53" s="182"/>
      <c r="E53" s="48">
        <f>SUM(E54+E58+E61+E64)</f>
        <v>6308033.6299999999</v>
      </c>
      <c r="F53" s="45"/>
      <c r="G53" s="179" t="s">
        <v>38</v>
      </c>
      <c r="H53" s="179"/>
      <c r="I53" s="179"/>
      <c r="J53" s="49">
        <v>161141.99</v>
      </c>
    </row>
    <row r="54" spans="1:15" ht="15.75" x14ac:dyDescent="0.25">
      <c r="A54" s="185" t="s">
        <v>67</v>
      </c>
      <c r="B54" s="186"/>
      <c r="C54" s="186"/>
      <c r="D54" s="186"/>
      <c r="E54" s="48">
        <f>E55+E56+E57</f>
        <v>3982291.2600000002</v>
      </c>
      <c r="F54" s="45"/>
      <c r="G54" s="179" t="s">
        <v>39</v>
      </c>
      <c r="H54" s="179"/>
      <c r="I54" s="179"/>
      <c r="J54" s="49">
        <v>90685.2</v>
      </c>
    </row>
    <row r="55" spans="1:15" ht="15.75" x14ac:dyDescent="0.25">
      <c r="A55" s="55"/>
      <c r="B55" s="180" t="s">
        <v>68</v>
      </c>
      <c r="C55" s="180"/>
      <c r="D55" s="180"/>
      <c r="E55" s="49">
        <f>2421898</f>
        <v>2421898</v>
      </c>
      <c r="F55" s="45"/>
      <c r="G55" s="19"/>
      <c r="H55" s="19"/>
      <c r="I55" s="19"/>
      <c r="J55" s="46"/>
    </row>
    <row r="56" spans="1:15" ht="15.75" x14ac:dyDescent="0.25">
      <c r="A56" s="55"/>
      <c r="B56" s="180" t="s">
        <v>69</v>
      </c>
      <c r="C56" s="180"/>
      <c r="D56" s="180"/>
      <c r="E56" s="49">
        <v>1867365.74</v>
      </c>
      <c r="F56" s="45"/>
      <c r="G56" s="19"/>
      <c r="H56" s="19"/>
      <c r="I56" s="19"/>
      <c r="J56" s="46"/>
    </row>
    <row r="57" spans="1:15" ht="15.75" x14ac:dyDescent="0.25">
      <c r="A57" s="55"/>
      <c r="B57" s="180" t="s">
        <v>40</v>
      </c>
      <c r="C57" s="180"/>
      <c r="D57" s="180"/>
      <c r="E57" s="49">
        <v>-306972.48</v>
      </c>
      <c r="F57" s="45"/>
      <c r="G57" s="19"/>
      <c r="H57" s="19"/>
      <c r="I57" s="19"/>
      <c r="J57" s="46"/>
    </row>
    <row r="58" spans="1:15" ht="15.75" x14ac:dyDescent="0.25">
      <c r="A58" s="185" t="s">
        <v>70</v>
      </c>
      <c r="B58" s="186"/>
      <c r="C58" s="186"/>
      <c r="D58" s="186"/>
      <c r="E58" s="48">
        <f>E59+E60</f>
        <v>571286.74000000022</v>
      </c>
      <c r="F58" s="45"/>
      <c r="G58" s="179"/>
      <c r="H58" s="179"/>
      <c r="I58" s="179"/>
      <c r="J58" s="49"/>
    </row>
    <row r="59" spans="1:15" ht="15.75" x14ac:dyDescent="0.25">
      <c r="A59" s="55"/>
      <c r="B59" s="180" t="s">
        <v>71</v>
      </c>
      <c r="C59" s="180"/>
      <c r="D59" s="180"/>
      <c r="E59" s="49">
        <f>384659.22+61908.88+170264.1+4766.11+3051+62181.5+660540.56+39036.25+387021.3</f>
        <v>1773428.9200000002</v>
      </c>
      <c r="F59" s="45"/>
      <c r="G59" s="68"/>
      <c r="H59" s="68"/>
      <c r="I59" s="68"/>
      <c r="J59" s="46"/>
    </row>
    <row r="60" spans="1:15" ht="15.75" x14ac:dyDescent="0.25">
      <c r="A60" s="55"/>
      <c r="B60" s="180" t="s">
        <v>40</v>
      </c>
      <c r="C60" s="180"/>
      <c r="D60" s="180"/>
      <c r="E60" s="49">
        <f>-811213.37-390928.81</f>
        <v>-1202142.18</v>
      </c>
      <c r="F60" s="45"/>
      <c r="G60" s="68"/>
      <c r="H60" s="68"/>
      <c r="I60" s="68"/>
      <c r="J60" s="46"/>
    </row>
    <row r="61" spans="1:15" ht="15.75" x14ac:dyDescent="0.25">
      <c r="A61" s="185" t="s">
        <v>75</v>
      </c>
      <c r="B61" s="186"/>
      <c r="C61" s="186"/>
      <c r="D61" s="186"/>
      <c r="E61" s="48">
        <f>E62+E63</f>
        <v>1759.6300000000047</v>
      </c>
      <c r="F61" s="45"/>
      <c r="G61" s="19"/>
      <c r="H61" s="32"/>
      <c r="I61" s="19"/>
      <c r="J61" s="50"/>
    </row>
    <row r="62" spans="1:15" ht="15.75" x14ac:dyDescent="0.25">
      <c r="A62" s="55"/>
      <c r="B62" s="180" t="s">
        <v>42</v>
      </c>
      <c r="C62" s="180"/>
      <c r="D62" s="180"/>
      <c r="E62" s="49">
        <v>73327.8</v>
      </c>
      <c r="F62" s="45"/>
      <c r="G62" s="19"/>
      <c r="H62" s="19"/>
      <c r="I62" s="19"/>
      <c r="J62" s="50"/>
    </row>
    <row r="63" spans="1:15" ht="15.75" x14ac:dyDescent="0.25">
      <c r="A63" s="55"/>
      <c r="B63" s="180" t="s">
        <v>41</v>
      </c>
      <c r="C63" s="180"/>
      <c r="D63" s="180"/>
      <c r="E63" s="49">
        <v>-71568.17</v>
      </c>
      <c r="F63" s="45"/>
      <c r="G63" s="68"/>
      <c r="H63" s="68"/>
      <c r="I63" s="68"/>
      <c r="J63" s="46"/>
    </row>
    <row r="64" spans="1:15" ht="15.75" x14ac:dyDescent="0.25">
      <c r="A64" s="177" t="s">
        <v>76</v>
      </c>
      <c r="B64" s="178"/>
      <c r="C64" s="178"/>
      <c r="D64" s="178"/>
      <c r="E64" s="48">
        <f>E65+E66</f>
        <v>1752696</v>
      </c>
      <c r="F64" s="45"/>
      <c r="G64" s="68"/>
      <c r="H64" s="179"/>
      <c r="I64" s="179"/>
      <c r="J64" s="46"/>
    </row>
    <row r="65" spans="1:12" ht="15.75" x14ac:dyDescent="0.25">
      <c r="A65" s="55"/>
      <c r="B65" s="180" t="s">
        <v>56</v>
      </c>
      <c r="C65" s="180"/>
      <c r="D65" s="180"/>
      <c r="E65" s="49">
        <f>2319674.58+10830</f>
        <v>2330504.58</v>
      </c>
      <c r="F65" s="45"/>
      <c r="G65" s="68"/>
      <c r="H65" s="68"/>
      <c r="I65" s="68"/>
      <c r="J65" s="46"/>
    </row>
    <row r="66" spans="1:12" ht="15.75" x14ac:dyDescent="0.25">
      <c r="A66" s="55"/>
      <c r="B66" s="180" t="s">
        <v>41</v>
      </c>
      <c r="C66" s="180"/>
      <c r="D66" s="180"/>
      <c r="E66" s="49">
        <v>-577808.57999999996</v>
      </c>
      <c r="F66" s="45"/>
      <c r="G66" s="68"/>
      <c r="H66" s="68"/>
      <c r="I66" s="68"/>
      <c r="J66" s="46"/>
    </row>
    <row r="67" spans="1:12" s="17" customFormat="1" ht="24" customHeight="1" x14ac:dyDescent="0.25">
      <c r="A67" s="181" t="s">
        <v>82</v>
      </c>
      <c r="B67" s="182"/>
      <c r="C67" s="182"/>
      <c r="D67" s="182"/>
      <c r="E67" s="48">
        <f>E53+E39+E12</f>
        <v>201481817.67000002</v>
      </c>
      <c r="F67" s="183" t="s">
        <v>44</v>
      </c>
      <c r="G67" s="184"/>
      <c r="H67" s="184"/>
      <c r="I67" s="184"/>
      <c r="J67" s="48">
        <f>J39+J12+J29+J46</f>
        <v>201481817.66999999</v>
      </c>
      <c r="L67" s="67"/>
    </row>
    <row r="68" spans="1:12" s="17" customFormat="1" ht="16.5" thickBot="1" x14ac:dyDescent="0.3">
      <c r="A68" s="60"/>
      <c r="B68" s="61"/>
      <c r="C68" s="61"/>
      <c r="D68" s="61"/>
      <c r="E68" s="62"/>
      <c r="F68" s="51"/>
      <c r="G68" s="52"/>
      <c r="H68" s="52"/>
      <c r="I68" s="52"/>
      <c r="J68" s="53"/>
    </row>
    <row r="69" spans="1:12" ht="21" customHeight="1" x14ac:dyDescent="0.2">
      <c r="A69" s="54"/>
      <c r="B69" s="35"/>
      <c r="C69" s="35"/>
      <c r="D69" s="35"/>
      <c r="E69" s="35"/>
      <c r="F69" s="35"/>
      <c r="G69" s="35"/>
      <c r="H69" s="35"/>
      <c r="I69" s="35"/>
      <c r="J69" s="36"/>
    </row>
    <row r="70" spans="1:12" ht="15.75" x14ac:dyDescent="0.2">
      <c r="A70" s="20"/>
      <c r="B70" s="21"/>
      <c r="C70" s="21"/>
      <c r="D70" s="21"/>
      <c r="E70" s="21"/>
      <c r="F70" s="21"/>
      <c r="G70" s="21"/>
      <c r="H70" s="21"/>
      <c r="I70" s="21"/>
      <c r="J70" s="22"/>
    </row>
    <row r="71" spans="1:12" ht="15.75" x14ac:dyDescent="0.2">
      <c r="A71" s="173" t="s">
        <v>45</v>
      </c>
      <c r="B71" s="174"/>
      <c r="C71" s="174"/>
      <c r="D71" s="174"/>
      <c r="E71" s="174"/>
      <c r="F71" s="174" t="s">
        <v>46</v>
      </c>
      <c r="G71" s="174"/>
      <c r="H71" s="174"/>
      <c r="I71" s="174"/>
      <c r="J71" s="175"/>
    </row>
    <row r="72" spans="1:12" ht="15.75" x14ac:dyDescent="0.25">
      <c r="A72" s="163" t="s">
        <v>61</v>
      </c>
      <c r="B72" s="164"/>
      <c r="C72" s="164"/>
      <c r="D72" s="164"/>
      <c r="E72" s="164"/>
      <c r="F72" s="176"/>
      <c r="G72" s="176"/>
      <c r="H72" s="176"/>
      <c r="I72" s="176"/>
      <c r="J72" s="23"/>
    </row>
    <row r="73" spans="1:12" ht="15.75" x14ac:dyDescent="0.25">
      <c r="A73" s="163" t="s">
        <v>59</v>
      </c>
      <c r="B73" s="164"/>
      <c r="C73" s="164"/>
      <c r="D73" s="164"/>
      <c r="E73" s="164"/>
      <c r="F73" s="164" t="s">
        <v>47</v>
      </c>
      <c r="G73" s="164"/>
      <c r="H73" s="164"/>
      <c r="I73" s="164"/>
      <c r="J73" s="165"/>
    </row>
    <row r="74" spans="1:12" ht="15.75" x14ac:dyDescent="0.25">
      <c r="A74" s="163" t="s">
        <v>62</v>
      </c>
      <c r="B74" s="164"/>
      <c r="C74" s="164"/>
      <c r="D74" s="164"/>
      <c r="E74" s="164"/>
      <c r="F74" s="164" t="s">
        <v>48</v>
      </c>
      <c r="G74" s="164"/>
      <c r="H74" s="164"/>
      <c r="I74" s="164"/>
      <c r="J74" s="165"/>
      <c r="K74" s="24"/>
    </row>
    <row r="75" spans="1:12" ht="15.75" x14ac:dyDescent="0.25">
      <c r="A75" s="163" t="s">
        <v>49</v>
      </c>
      <c r="B75" s="164"/>
      <c r="C75" s="164"/>
      <c r="D75" s="164"/>
      <c r="E75" s="164"/>
      <c r="F75" s="164" t="s">
        <v>50</v>
      </c>
      <c r="G75" s="164"/>
      <c r="H75" s="164"/>
      <c r="I75" s="164"/>
      <c r="J75" s="165"/>
    </row>
    <row r="76" spans="1:12" ht="15.75" x14ac:dyDescent="0.25">
      <c r="A76" s="163" t="s">
        <v>64</v>
      </c>
      <c r="B76" s="164"/>
      <c r="C76" s="164"/>
      <c r="D76" s="164"/>
      <c r="E76" s="164"/>
      <c r="F76" s="169"/>
      <c r="G76" s="169"/>
      <c r="H76" s="169"/>
      <c r="I76" s="169"/>
      <c r="J76" s="170"/>
    </row>
    <row r="77" spans="1:12" ht="15.75" x14ac:dyDescent="0.25">
      <c r="A77" s="163" t="s">
        <v>65</v>
      </c>
      <c r="B77" s="164"/>
      <c r="C77" s="164"/>
      <c r="D77" s="164"/>
      <c r="E77" s="164"/>
      <c r="F77" s="171" t="s">
        <v>51</v>
      </c>
      <c r="G77" s="171"/>
      <c r="H77" s="171"/>
      <c r="I77" s="171"/>
      <c r="J77" s="172"/>
    </row>
    <row r="78" spans="1:12" ht="15.75" x14ac:dyDescent="0.25">
      <c r="A78" s="163" t="s">
        <v>60</v>
      </c>
      <c r="B78" s="164"/>
      <c r="C78" s="164"/>
      <c r="D78" s="164"/>
      <c r="E78" s="164"/>
      <c r="F78" s="164" t="s">
        <v>52</v>
      </c>
      <c r="G78" s="164"/>
      <c r="H78" s="164"/>
      <c r="I78" s="164"/>
      <c r="J78" s="165"/>
    </row>
    <row r="79" spans="1:12" ht="16.5" thickBot="1" x14ac:dyDescent="0.3">
      <c r="A79" s="166" t="s">
        <v>53</v>
      </c>
      <c r="B79" s="167"/>
      <c r="C79" s="167"/>
      <c r="D79" s="167"/>
      <c r="E79" s="167"/>
      <c r="F79" s="167" t="s">
        <v>54</v>
      </c>
      <c r="G79" s="167"/>
      <c r="H79" s="167"/>
      <c r="I79" s="167"/>
      <c r="J79" s="168"/>
    </row>
    <row r="80" spans="1:12" ht="13.5" thickTop="1" x14ac:dyDescent="0.2"/>
    <row r="81" spans="1: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4" spans="1:10" x14ac:dyDescent="0.2">
      <c r="F84" s="27"/>
    </row>
    <row r="86" spans="1:10" x14ac:dyDescent="0.2">
      <c r="J86" s="28"/>
    </row>
  </sheetData>
  <mergeCells count="96"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2:E72"/>
    <mergeCell ref="F72:I72"/>
    <mergeCell ref="A73:E73"/>
    <mergeCell ref="F73:J73"/>
    <mergeCell ref="A74:E74"/>
    <mergeCell ref="F74:J74"/>
    <mergeCell ref="B65:D65"/>
    <mergeCell ref="B66:D66"/>
    <mergeCell ref="A67:D67"/>
    <mergeCell ref="F67:I67"/>
    <mergeCell ref="A71:E71"/>
    <mergeCell ref="F71:J71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B47:D47"/>
    <mergeCell ref="G47:I47"/>
    <mergeCell ref="L47:N47"/>
    <mergeCell ref="G48:I48"/>
    <mergeCell ref="B49:D49"/>
    <mergeCell ref="G49:I49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29:D29"/>
    <mergeCell ref="F29:I29"/>
    <mergeCell ref="A31:D31"/>
    <mergeCell ref="B32:C32"/>
    <mergeCell ref="B33:C33"/>
    <mergeCell ref="F33:I33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O86"/>
  <sheetViews>
    <sheetView workbookViewId="0">
      <selection activeCell="E53" sqref="E53"/>
    </sheetView>
  </sheetViews>
  <sheetFormatPr defaultRowHeight="12.75" x14ac:dyDescent="0.2"/>
  <cols>
    <col min="1" max="1" width="4.85546875" style="5" customWidth="1"/>
    <col min="2" max="2" width="11.42578125" style="5" customWidth="1"/>
    <col min="3" max="3" width="10.85546875" style="5" customWidth="1"/>
    <col min="4" max="4" width="18.140625" style="7" customWidth="1"/>
    <col min="5" max="5" width="20.140625" style="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7" customWidth="1"/>
    <col min="10" max="10" width="27.5703125" style="25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4"/>
      <c r="E2" s="8" t="s">
        <v>0</v>
      </c>
      <c r="F2" s="9"/>
      <c r="G2" s="9"/>
      <c r="H2" s="9"/>
      <c r="I2" s="9"/>
      <c r="J2" s="10"/>
      <c r="K2" s="9"/>
      <c r="L2" s="9"/>
      <c r="M2" s="9"/>
      <c r="N2" s="9"/>
    </row>
    <row r="3" spans="1:14" x14ac:dyDescent="0.2">
      <c r="A3" s="6"/>
      <c r="E3" s="11" t="s">
        <v>1</v>
      </c>
      <c r="F3" s="12"/>
      <c r="G3" s="12"/>
      <c r="H3" s="12"/>
      <c r="I3" s="12"/>
      <c r="J3" s="13"/>
      <c r="K3" s="12"/>
      <c r="L3" s="12"/>
      <c r="M3" s="12"/>
      <c r="N3" s="12"/>
    </row>
    <row r="4" spans="1:14" x14ac:dyDescent="0.2">
      <c r="A4" s="6"/>
      <c r="B4" s="193"/>
      <c r="C4" s="193"/>
      <c r="D4" s="66"/>
      <c r="E4" s="11" t="s">
        <v>2</v>
      </c>
      <c r="F4" s="12"/>
      <c r="G4" s="12"/>
      <c r="H4" s="12"/>
      <c r="I4" s="12"/>
      <c r="J4" s="13"/>
      <c r="K4" s="12"/>
      <c r="L4" s="12"/>
      <c r="M4" s="12"/>
      <c r="N4" s="12"/>
    </row>
    <row r="5" spans="1:14" ht="15" x14ac:dyDescent="0.25">
      <c r="A5" s="14"/>
      <c r="B5" s="193"/>
      <c r="C5" s="193"/>
      <c r="D5" s="76"/>
      <c r="E5" s="11" t="s">
        <v>3</v>
      </c>
      <c r="F5" s="12"/>
      <c r="G5" s="12"/>
      <c r="H5" s="12"/>
      <c r="I5" s="12"/>
      <c r="J5" s="13"/>
      <c r="K5" s="12"/>
      <c r="L5" s="12"/>
      <c r="M5" s="12"/>
      <c r="N5" s="12"/>
    </row>
    <row r="6" spans="1:14" ht="15.75" customHeight="1" x14ac:dyDescent="0.2">
      <c r="A6" s="194"/>
      <c r="B6" s="195"/>
      <c r="C6" s="195"/>
      <c r="D6" s="195"/>
      <c r="E6" s="195"/>
      <c r="J6" s="15"/>
    </row>
    <row r="7" spans="1:14" ht="24" customHeight="1" x14ac:dyDescent="0.2">
      <c r="A7" s="30"/>
      <c r="B7" s="31"/>
      <c r="C7" s="31"/>
      <c r="D7" s="31"/>
      <c r="E7" s="31"/>
      <c r="J7" s="15"/>
    </row>
    <row r="8" spans="1:14" ht="20.25" customHeight="1" x14ac:dyDescent="0.2">
      <c r="A8" s="196" t="s">
        <v>83</v>
      </c>
      <c r="B8" s="197"/>
      <c r="C8" s="197"/>
      <c r="D8" s="197"/>
      <c r="E8" s="197"/>
      <c r="F8" s="197"/>
      <c r="G8" s="197"/>
      <c r="H8" s="197"/>
      <c r="I8" s="197"/>
      <c r="J8" s="198"/>
    </row>
    <row r="9" spans="1:14" ht="15" customHeight="1" thickBot="1" x14ac:dyDescent="0.25">
      <c r="A9" s="196"/>
      <c r="B9" s="197"/>
      <c r="C9" s="197"/>
      <c r="D9" s="197"/>
      <c r="E9" s="197"/>
      <c r="F9" s="197"/>
      <c r="G9" s="197"/>
      <c r="H9" s="197"/>
      <c r="I9" s="197"/>
      <c r="J9" s="198"/>
    </row>
    <row r="10" spans="1:14" s="16" customFormat="1" ht="25.5" customHeight="1" thickBot="1" x14ac:dyDescent="0.35">
      <c r="A10" s="199" t="s">
        <v>4</v>
      </c>
      <c r="B10" s="200"/>
      <c r="C10" s="200"/>
      <c r="D10" s="200"/>
      <c r="E10" s="200"/>
      <c r="F10" s="199" t="s">
        <v>5</v>
      </c>
      <c r="G10" s="200"/>
      <c r="H10" s="200"/>
      <c r="I10" s="200"/>
      <c r="J10" s="201"/>
    </row>
    <row r="11" spans="1:14" s="16" customFormat="1" ht="19.5" customHeight="1" x14ac:dyDescent="0.25">
      <c r="A11" s="37"/>
      <c r="B11" s="38"/>
      <c r="C11" s="38"/>
      <c r="D11" s="38"/>
      <c r="E11" s="39"/>
      <c r="F11" s="37"/>
      <c r="G11" s="38"/>
      <c r="H11" s="38"/>
      <c r="I11" s="38"/>
      <c r="J11" s="39"/>
    </row>
    <row r="12" spans="1:14" s="17" customFormat="1" ht="15.75" x14ac:dyDescent="0.25">
      <c r="A12" s="181" t="s">
        <v>6</v>
      </c>
      <c r="B12" s="182"/>
      <c r="C12" s="182"/>
      <c r="D12" s="182"/>
      <c r="E12" s="48">
        <f>SUM(E14+E16+E19+E22+E28+E31+E35)</f>
        <v>144177647.51000002</v>
      </c>
      <c r="F12" s="202" t="s">
        <v>7</v>
      </c>
      <c r="G12" s="203"/>
      <c r="H12" s="203"/>
      <c r="I12" s="203"/>
      <c r="J12" s="40">
        <f>J16+J20</f>
        <v>11145468.439999999</v>
      </c>
    </row>
    <row r="13" spans="1:14" s="17" customFormat="1" ht="15.75" x14ac:dyDescent="0.25">
      <c r="A13" s="74"/>
      <c r="B13" s="72"/>
      <c r="C13" s="72"/>
      <c r="D13" s="72"/>
      <c r="E13" s="49"/>
      <c r="F13" s="75"/>
      <c r="G13" s="70"/>
      <c r="H13" s="70"/>
      <c r="I13" s="70"/>
      <c r="J13" s="41"/>
    </row>
    <row r="14" spans="1:14" s="17" customFormat="1" ht="15.75" x14ac:dyDescent="0.25">
      <c r="A14" s="185" t="s">
        <v>8</v>
      </c>
      <c r="B14" s="186"/>
      <c r="C14" s="186"/>
      <c r="D14" s="186"/>
      <c r="E14" s="49">
        <v>41425.22</v>
      </c>
      <c r="F14" s="75"/>
      <c r="G14" s="204"/>
      <c r="H14" s="204"/>
      <c r="I14" s="204"/>
      <c r="J14" s="41"/>
    </row>
    <row r="15" spans="1:14" s="17" customFormat="1" ht="15.75" x14ac:dyDescent="0.25">
      <c r="A15" s="55"/>
      <c r="B15" s="72"/>
      <c r="C15" s="72"/>
      <c r="D15" s="72"/>
      <c r="E15" s="49"/>
      <c r="F15" s="205"/>
      <c r="G15" s="206"/>
      <c r="H15" s="206"/>
      <c r="I15" s="206"/>
      <c r="J15" s="207"/>
    </row>
    <row r="16" spans="1:14" s="17" customFormat="1" ht="15.75" x14ac:dyDescent="0.25">
      <c r="A16" s="185" t="s">
        <v>9</v>
      </c>
      <c r="B16" s="186"/>
      <c r="C16" s="186"/>
      <c r="D16" s="186"/>
      <c r="E16" s="48">
        <f>SUM(E17)</f>
        <v>31221394.329999998</v>
      </c>
      <c r="F16" s="190" t="s">
        <v>10</v>
      </c>
      <c r="G16" s="191"/>
      <c r="H16" s="191"/>
      <c r="I16" s="191"/>
      <c r="J16" s="42">
        <f>SUM(J17+J18)</f>
        <v>2436044.4000000004</v>
      </c>
    </row>
    <row r="17" spans="1:10" ht="15.75" x14ac:dyDescent="0.25">
      <c r="A17" s="55"/>
      <c r="B17" s="180" t="s">
        <v>11</v>
      </c>
      <c r="C17" s="180"/>
      <c r="D17" s="180"/>
      <c r="E17" s="49">
        <v>31221394.329999998</v>
      </c>
      <c r="F17" s="75"/>
      <c r="G17" s="69" t="s">
        <v>12</v>
      </c>
      <c r="H17" s="29" t="s">
        <v>63</v>
      </c>
      <c r="I17" s="29"/>
      <c r="J17" s="43">
        <v>1634928.6</v>
      </c>
    </row>
    <row r="18" spans="1:10" ht="15.75" x14ac:dyDescent="0.25">
      <c r="A18" s="55"/>
      <c r="B18" s="72"/>
      <c r="C18" s="72"/>
      <c r="D18" s="72"/>
      <c r="E18" s="49"/>
      <c r="F18" s="75"/>
      <c r="G18" s="69"/>
      <c r="H18" s="69" t="s">
        <v>12</v>
      </c>
      <c r="I18" s="29"/>
      <c r="J18" s="43">
        <v>801115.8</v>
      </c>
    </row>
    <row r="19" spans="1:10" ht="15.75" x14ac:dyDescent="0.25">
      <c r="A19" s="185" t="s">
        <v>13</v>
      </c>
      <c r="B19" s="186"/>
      <c r="C19" s="186"/>
      <c r="D19" s="186"/>
      <c r="E19" s="48">
        <f>SUM(E20)</f>
        <v>59895246.32</v>
      </c>
      <c r="F19" s="75"/>
      <c r="G19" s="70"/>
      <c r="H19" s="69"/>
      <c r="I19" s="70"/>
      <c r="J19" s="43"/>
    </row>
    <row r="20" spans="1:10" ht="15.75" x14ac:dyDescent="0.25">
      <c r="A20" s="55"/>
      <c r="B20" s="180" t="s">
        <v>14</v>
      </c>
      <c r="C20" s="180"/>
      <c r="D20" s="180"/>
      <c r="E20" s="49">
        <v>59895246.32</v>
      </c>
      <c r="F20" s="190" t="s">
        <v>15</v>
      </c>
      <c r="G20" s="191"/>
      <c r="H20" s="191"/>
      <c r="I20" s="191"/>
      <c r="J20" s="42">
        <f>SUM(J21:J23)</f>
        <v>8709424.0399999991</v>
      </c>
    </row>
    <row r="21" spans="1:10" ht="15.75" x14ac:dyDescent="0.25">
      <c r="A21" s="55"/>
      <c r="B21" s="182"/>
      <c r="C21" s="182"/>
      <c r="D21" s="182"/>
      <c r="E21" s="48"/>
      <c r="F21" s="44"/>
      <c r="G21" s="192" t="s">
        <v>16</v>
      </c>
      <c r="H21" s="192"/>
      <c r="I21" s="192"/>
      <c r="J21" s="43">
        <v>2577889.13</v>
      </c>
    </row>
    <row r="22" spans="1:10" ht="15.75" x14ac:dyDescent="0.25">
      <c r="A22" s="185" t="s">
        <v>17</v>
      </c>
      <c r="B22" s="186"/>
      <c r="C22" s="186"/>
      <c r="D22" s="186"/>
      <c r="E22" s="48">
        <f>E23+E24+E25+E26</f>
        <v>36001290.859999999</v>
      </c>
      <c r="F22" s="44"/>
      <c r="G22" s="69" t="s">
        <v>18</v>
      </c>
      <c r="H22" s="69" t="s">
        <v>18</v>
      </c>
      <c r="I22" s="69"/>
      <c r="J22" s="43">
        <v>700115.54</v>
      </c>
    </row>
    <row r="23" spans="1:10" ht="15.75" x14ac:dyDescent="0.25">
      <c r="A23" s="55"/>
      <c r="B23" s="180" t="s">
        <v>19</v>
      </c>
      <c r="C23" s="180"/>
      <c r="D23" s="180"/>
      <c r="E23" s="49">
        <v>26744380.460000001</v>
      </c>
      <c r="F23" s="44"/>
      <c r="G23" s="69" t="s">
        <v>20</v>
      </c>
      <c r="H23" s="69" t="s">
        <v>20</v>
      </c>
      <c r="I23" s="69"/>
      <c r="J23" s="43">
        <f>6971.26+5424448.11</f>
        <v>5431419.3700000001</v>
      </c>
    </row>
    <row r="24" spans="1:10" ht="15.75" x14ac:dyDescent="0.25">
      <c r="A24" s="55"/>
      <c r="B24" s="187" t="s">
        <v>21</v>
      </c>
      <c r="C24" s="187"/>
      <c r="D24" s="187"/>
      <c r="E24" s="49">
        <v>14314483.359999999</v>
      </c>
      <c r="F24" s="44"/>
      <c r="G24" s="70"/>
      <c r="H24" s="69"/>
      <c r="I24" s="18"/>
      <c r="J24" s="43"/>
    </row>
    <row r="25" spans="1:10" ht="15.75" x14ac:dyDescent="0.25">
      <c r="A25" s="57"/>
      <c r="B25" s="187" t="s">
        <v>66</v>
      </c>
      <c r="C25" s="187"/>
      <c r="D25" s="187"/>
      <c r="E25" s="49">
        <v>203446.85</v>
      </c>
      <c r="F25" s="45"/>
      <c r="G25" s="68"/>
      <c r="H25" s="68"/>
      <c r="I25" s="68"/>
      <c r="J25" s="46"/>
    </row>
    <row r="26" spans="1:10" ht="15.75" x14ac:dyDescent="0.25">
      <c r="A26" s="55"/>
      <c r="B26" s="187" t="s">
        <v>22</v>
      </c>
      <c r="C26" s="187"/>
      <c r="D26" s="187"/>
      <c r="E26" s="49">
        <v>-5261019.8099999996</v>
      </c>
      <c r="F26" s="45"/>
      <c r="G26" s="68"/>
      <c r="H26" s="68"/>
      <c r="I26" s="68"/>
      <c r="J26" s="46"/>
    </row>
    <row r="27" spans="1:10" ht="15.75" x14ac:dyDescent="0.25">
      <c r="A27" s="55"/>
      <c r="B27" s="18"/>
      <c r="C27" s="18"/>
      <c r="D27" s="33"/>
      <c r="E27" s="49"/>
      <c r="F27" s="45"/>
      <c r="G27" s="19"/>
      <c r="H27" s="19"/>
      <c r="I27" s="19"/>
      <c r="J27" s="46"/>
    </row>
    <row r="28" spans="1:10" ht="15.75" x14ac:dyDescent="0.25">
      <c r="A28" s="185" t="s">
        <v>23</v>
      </c>
      <c r="B28" s="186"/>
      <c r="C28" s="186"/>
      <c r="D28" s="186"/>
      <c r="E28" s="48">
        <f>E29</f>
        <v>16692706.91</v>
      </c>
      <c r="F28" s="47" t="s">
        <v>55</v>
      </c>
      <c r="G28" s="19"/>
      <c r="H28" s="19"/>
      <c r="I28" s="19"/>
      <c r="J28" s="46"/>
    </row>
    <row r="29" spans="1:10" ht="15.75" x14ac:dyDescent="0.25">
      <c r="A29" s="55"/>
      <c r="B29" s="187" t="s">
        <v>24</v>
      </c>
      <c r="C29" s="187"/>
      <c r="D29" s="187"/>
      <c r="E29" s="49">
        <f>22394626.64-5701919.73</f>
        <v>16692706.91</v>
      </c>
      <c r="F29" s="188" t="s">
        <v>25</v>
      </c>
      <c r="G29" s="189"/>
      <c r="H29" s="189"/>
      <c r="I29" s="189"/>
      <c r="J29" s="48">
        <f>J33</f>
        <v>21148249.879999999</v>
      </c>
    </row>
    <row r="30" spans="1:10" ht="15.75" x14ac:dyDescent="0.25">
      <c r="A30" s="55"/>
      <c r="B30" s="18"/>
      <c r="C30" s="18"/>
      <c r="D30" s="33"/>
      <c r="E30" s="49"/>
      <c r="F30" s="45"/>
      <c r="G30" s="19"/>
      <c r="H30" s="19"/>
      <c r="I30" s="19"/>
      <c r="J30" s="49"/>
    </row>
    <row r="31" spans="1:10" ht="15.75" hidden="1" x14ac:dyDescent="0.25">
      <c r="A31" s="185"/>
      <c r="B31" s="186"/>
      <c r="C31" s="186"/>
      <c r="D31" s="186"/>
      <c r="E31" s="48"/>
      <c r="F31" s="45"/>
      <c r="G31" s="19"/>
      <c r="H31" s="19"/>
      <c r="I31" s="19"/>
      <c r="J31" s="49"/>
    </row>
    <row r="32" spans="1:10" ht="15.75" hidden="1" x14ac:dyDescent="0.25">
      <c r="A32" s="56"/>
      <c r="B32" s="180"/>
      <c r="C32" s="180"/>
      <c r="D32" s="71"/>
      <c r="E32" s="63"/>
      <c r="F32" s="64"/>
      <c r="G32" s="65"/>
      <c r="H32" s="65"/>
      <c r="I32" s="65"/>
      <c r="J32" s="63"/>
    </row>
    <row r="33" spans="1:15" ht="15.75" x14ac:dyDescent="0.25">
      <c r="A33" s="56"/>
      <c r="B33" s="180"/>
      <c r="C33" s="180"/>
      <c r="D33" s="71"/>
      <c r="E33" s="63"/>
      <c r="F33" s="188" t="s">
        <v>10</v>
      </c>
      <c r="G33" s="189"/>
      <c r="H33" s="189"/>
      <c r="I33" s="189"/>
      <c r="J33" s="48">
        <f>SUM(J34+J35)</f>
        <v>21148249.879999999</v>
      </c>
    </row>
    <row r="34" spans="1:15" ht="15.75" x14ac:dyDescent="0.25">
      <c r="A34" s="55"/>
      <c r="B34" s="18"/>
      <c r="C34" s="73"/>
      <c r="D34" s="73"/>
      <c r="E34" s="49"/>
      <c r="F34" s="45"/>
      <c r="G34" s="19" t="s">
        <v>57</v>
      </c>
      <c r="H34" s="19" t="s">
        <v>57</v>
      </c>
      <c r="I34" s="19"/>
      <c r="J34" s="49">
        <v>16726220.84</v>
      </c>
    </row>
    <row r="35" spans="1:15" ht="15.75" x14ac:dyDescent="0.25">
      <c r="A35" s="185" t="s">
        <v>26</v>
      </c>
      <c r="B35" s="186"/>
      <c r="C35" s="186"/>
      <c r="D35" s="186"/>
      <c r="E35" s="48">
        <f>E36</f>
        <v>325583.87</v>
      </c>
      <c r="F35" s="64"/>
      <c r="G35" s="65"/>
      <c r="H35" s="19" t="s">
        <v>12</v>
      </c>
      <c r="I35" s="19"/>
      <c r="J35" s="49">
        <v>4422029.04</v>
      </c>
    </row>
    <row r="36" spans="1:15" ht="15.75" x14ac:dyDescent="0.25">
      <c r="A36" s="55"/>
      <c r="B36" s="187" t="s">
        <v>27</v>
      </c>
      <c r="C36" s="187"/>
      <c r="D36" s="187"/>
      <c r="E36" s="49">
        <v>325583.87</v>
      </c>
      <c r="F36" s="45"/>
      <c r="G36" s="19"/>
      <c r="H36" s="19"/>
      <c r="I36" s="19"/>
      <c r="J36" s="46"/>
    </row>
    <row r="37" spans="1:15" ht="15.75" x14ac:dyDescent="0.25">
      <c r="A37" s="55"/>
      <c r="B37" s="73"/>
      <c r="C37" s="73"/>
      <c r="D37" s="73"/>
      <c r="E37" s="49"/>
      <c r="F37" s="45"/>
      <c r="G37" s="19"/>
      <c r="H37" s="19"/>
      <c r="I37" s="19"/>
      <c r="J37" s="46"/>
    </row>
    <row r="38" spans="1:15" ht="15.75" x14ac:dyDescent="0.25">
      <c r="A38" s="57" t="s">
        <v>55</v>
      </c>
      <c r="B38" s="73"/>
      <c r="C38" s="73"/>
      <c r="D38" s="73"/>
      <c r="E38" s="49"/>
      <c r="F38" s="45"/>
      <c r="G38" s="19"/>
      <c r="H38" s="19"/>
      <c r="I38" s="19"/>
      <c r="J38" s="46"/>
    </row>
    <row r="39" spans="1:15" ht="15.75" x14ac:dyDescent="0.25">
      <c r="A39" s="58" t="s">
        <v>28</v>
      </c>
      <c r="B39" s="18"/>
      <c r="C39" s="18"/>
      <c r="D39" s="33"/>
      <c r="E39" s="48">
        <f>E41+E50</f>
        <v>54418775.689999998</v>
      </c>
      <c r="F39" s="183" t="s">
        <v>29</v>
      </c>
      <c r="G39" s="184"/>
      <c r="H39" s="184"/>
      <c r="I39" s="19"/>
      <c r="J39" s="48">
        <f>SUM(J40:J42)</f>
        <v>169585291.75999999</v>
      </c>
    </row>
    <row r="40" spans="1:15" ht="15.75" x14ac:dyDescent="0.25">
      <c r="A40" s="59"/>
      <c r="B40" s="18"/>
      <c r="C40" s="18"/>
      <c r="D40" s="33"/>
      <c r="E40" s="48"/>
      <c r="F40" s="45"/>
      <c r="G40" s="179" t="s">
        <v>30</v>
      </c>
      <c r="H40" s="179"/>
      <c r="I40" s="179"/>
      <c r="J40" s="49">
        <v>163314977.75999999</v>
      </c>
    </row>
    <row r="41" spans="1:15" ht="15.75" x14ac:dyDescent="0.25">
      <c r="A41" s="185" t="s">
        <v>81</v>
      </c>
      <c r="B41" s="186"/>
      <c r="C41" s="186"/>
      <c r="D41" s="186"/>
      <c r="E41" s="48">
        <f>E42+E43+E44+E45</f>
        <v>48716855.960000001</v>
      </c>
      <c r="F41" s="45"/>
      <c r="G41" s="179" t="s">
        <v>32</v>
      </c>
      <c r="H41" s="179"/>
      <c r="I41" s="179"/>
      <c r="J41" s="49">
        <v>6270314</v>
      </c>
    </row>
    <row r="42" spans="1:15" ht="15.75" x14ac:dyDescent="0.25">
      <c r="A42" s="57"/>
      <c r="B42" s="180" t="s">
        <v>19</v>
      </c>
      <c r="C42" s="180"/>
      <c r="D42" s="180"/>
      <c r="E42" s="49">
        <v>13595546.279999999</v>
      </c>
      <c r="F42" s="45"/>
      <c r="G42" s="179"/>
      <c r="H42" s="179"/>
      <c r="I42" s="179"/>
      <c r="J42" s="49"/>
    </row>
    <row r="43" spans="1:15" ht="15.75" x14ac:dyDescent="0.25">
      <c r="A43" s="57"/>
      <c r="B43" s="187" t="s">
        <v>21</v>
      </c>
      <c r="C43" s="187"/>
      <c r="D43" s="187"/>
      <c r="E43" s="49">
        <v>36664331.509999998</v>
      </c>
      <c r="F43" s="45"/>
      <c r="G43" s="68"/>
      <c r="H43" s="68"/>
      <c r="I43" s="68"/>
      <c r="J43" s="46"/>
    </row>
    <row r="44" spans="1:15" ht="15.75" x14ac:dyDescent="0.25">
      <c r="A44" s="57"/>
      <c r="B44" s="187" t="s">
        <v>66</v>
      </c>
      <c r="C44" s="187"/>
      <c r="D44" s="187"/>
      <c r="E44" s="49">
        <v>1693522</v>
      </c>
      <c r="F44" s="45"/>
      <c r="G44" s="68"/>
      <c r="H44" s="68"/>
      <c r="I44" s="68"/>
      <c r="J44" s="46"/>
    </row>
    <row r="45" spans="1:15" ht="15.75" x14ac:dyDescent="0.25">
      <c r="A45" s="57"/>
      <c r="B45" s="187" t="s">
        <v>22</v>
      </c>
      <c r="C45" s="187"/>
      <c r="D45" s="187"/>
      <c r="E45" s="49">
        <v>-3236543.83</v>
      </c>
      <c r="F45" s="45"/>
      <c r="G45" s="19"/>
      <c r="H45" s="19"/>
      <c r="I45" s="19"/>
      <c r="J45" s="50"/>
    </row>
    <row r="46" spans="1:15" ht="15" customHeight="1" x14ac:dyDescent="0.25">
      <c r="A46" s="185"/>
      <c r="B46" s="186"/>
      <c r="C46" s="186"/>
      <c r="D46" s="186"/>
      <c r="E46" s="48"/>
      <c r="F46" s="47" t="s">
        <v>33</v>
      </c>
      <c r="G46" s="77"/>
      <c r="H46" s="77"/>
      <c r="I46" s="77"/>
      <c r="J46" s="48">
        <f>SUM(J49:J54)</f>
        <v>941416.04999999888</v>
      </c>
      <c r="K46" s="45"/>
      <c r="L46" s="19"/>
      <c r="M46" s="19"/>
      <c r="N46" s="19"/>
      <c r="O46" s="19"/>
    </row>
    <row r="47" spans="1:15" ht="15.75" hidden="1" customHeight="1" x14ac:dyDescent="0.25">
      <c r="A47" s="57"/>
      <c r="B47" s="187"/>
      <c r="C47" s="187"/>
      <c r="D47" s="187"/>
      <c r="E47" s="49"/>
      <c r="F47" s="45"/>
      <c r="G47" s="179" t="s">
        <v>34</v>
      </c>
      <c r="H47" s="179"/>
      <c r="I47" s="179"/>
      <c r="J47" s="49">
        <v>11155142.77</v>
      </c>
      <c r="K47" s="45"/>
      <c r="L47" s="179"/>
      <c r="M47" s="179"/>
      <c r="N47" s="179"/>
      <c r="O47" s="78"/>
    </row>
    <row r="48" spans="1:15" ht="15.75" hidden="1" customHeight="1" x14ac:dyDescent="0.25">
      <c r="A48" s="57"/>
      <c r="B48" s="73"/>
      <c r="C48" s="73"/>
      <c r="D48" s="73"/>
      <c r="E48" s="49"/>
      <c r="F48" s="45"/>
      <c r="G48" s="179" t="s">
        <v>35</v>
      </c>
      <c r="H48" s="179"/>
      <c r="I48" s="179"/>
      <c r="J48" s="49">
        <v>-10361959.039999999</v>
      </c>
      <c r="K48" s="45"/>
      <c r="L48" s="68"/>
      <c r="M48" s="68"/>
      <c r="N48" s="68"/>
      <c r="O48" s="78"/>
    </row>
    <row r="49" spans="1:15" ht="15.75" x14ac:dyDescent="0.25">
      <c r="A49" s="57"/>
      <c r="B49" s="187"/>
      <c r="C49" s="187"/>
      <c r="D49" s="187"/>
      <c r="E49" s="49"/>
      <c r="F49" s="45"/>
      <c r="G49" s="179" t="s">
        <v>34</v>
      </c>
      <c r="H49" s="179"/>
      <c r="I49" s="179"/>
      <c r="J49" s="49">
        <v>15268872.77</v>
      </c>
      <c r="K49" s="47"/>
      <c r="L49" s="77"/>
      <c r="M49" s="77"/>
      <c r="N49" s="77"/>
      <c r="O49" s="79"/>
    </row>
    <row r="50" spans="1:15" ht="15.75" x14ac:dyDescent="0.25">
      <c r="A50" s="185" t="s">
        <v>23</v>
      </c>
      <c r="B50" s="186"/>
      <c r="C50" s="186"/>
      <c r="D50" s="186"/>
      <c r="E50" s="48">
        <f>E51+E52</f>
        <v>5701919.7300000004</v>
      </c>
      <c r="F50" s="45"/>
      <c r="G50" s="179" t="s">
        <v>73</v>
      </c>
      <c r="H50" s="179"/>
      <c r="I50" s="179"/>
      <c r="J50" s="49">
        <v>-14473456.220000001</v>
      </c>
      <c r="K50" s="45"/>
      <c r="L50" s="179"/>
      <c r="M50" s="179"/>
      <c r="N50" s="179"/>
      <c r="O50" s="80"/>
    </row>
    <row r="51" spans="1:15" ht="15.75" x14ac:dyDescent="0.25">
      <c r="A51" s="57"/>
      <c r="B51" s="187" t="s">
        <v>58</v>
      </c>
      <c r="C51" s="187"/>
      <c r="D51" s="187"/>
      <c r="E51" s="49">
        <v>5701919.7300000004</v>
      </c>
      <c r="F51" s="45"/>
      <c r="G51" s="179" t="s">
        <v>36</v>
      </c>
      <c r="H51" s="179"/>
      <c r="I51" s="179"/>
      <c r="J51" s="49">
        <v>0</v>
      </c>
      <c r="K51" s="45"/>
      <c r="L51" s="179"/>
      <c r="M51" s="179"/>
      <c r="N51" s="179"/>
      <c r="O51" s="80"/>
    </row>
    <row r="52" spans="1:15" ht="15.75" x14ac:dyDescent="0.25">
      <c r="A52" s="57"/>
      <c r="B52" s="187"/>
      <c r="C52" s="187"/>
      <c r="D52" s="187"/>
      <c r="E52" s="49"/>
      <c r="F52" s="45"/>
      <c r="G52" s="179" t="s">
        <v>74</v>
      </c>
      <c r="H52" s="179"/>
      <c r="I52" s="179"/>
      <c r="J52" s="49">
        <v>-16941.740000000002</v>
      </c>
      <c r="K52" s="45"/>
      <c r="L52" s="179"/>
      <c r="M52" s="179"/>
      <c r="N52" s="179"/>
      <c r="O52" s="80"/>
    </row>
    <row r="53" spans="1:15" s="17" customFormat="1" ht="15.75" x14ac:dyDescent="0.25">
      <c r="A53" s="181" t="s">
        <v>37</v>
      </c>
      <c r="B53" s="182"/>
      <c r="C53" s="182"/>
      <c r="D53" s="182"/>
      <c r="E53" s="48">
        <f>SUM(E54+E58+E61+E64)</f>
        <v>6229431.6900000004</v>
      </c>
      <c r="F53" s="45"/>
      <c r="G53" s="179" t="s">
        <v>38</v>
      </c>
      <c r="H53" s="179"/>
      <c r="I53" s="179"/>
      <c r="J53" s="49">
        <v>106338.27</v>
      </c>
    </row>
    <row r="54" spans="1:15" ht="15.75" x14ac:dyDescent="0.25">
      <c r="A54" s="185" t="s">
        <v>67</v>
      </c>
      <c r="B54" s="186"/>
      <c r="C54" s="186"/>
      <c r="D54" s="186"/>
      <c r="E54" s="48">
        <f>E55+E56+E57</f>
        <v>3970167.54</v>
      </c>
      <c r="F54" s="45"/>
      <c r="G54" s="179" t="s">
        <v>39</v>
      </c>
      <c r="H54" s="179"/>
      <c r="I54" s="179"/>
      <c r="J54" s="49">
        <v>56602.97</v>
      </c>
    </row>
    <row r="55" spans="1:15" ht="15.75" x14ac:dyDescent="0.25">
      <c r="A55" s="55"/>
      <c r="B55" s="180" t="s">
        <v>68</v>
      </c>
      <c r="C55" s="180"/>
      <c r="D55" s="180"/>
      <c r="E55" s="49">
        <f>2421898</f>
        <v>2421898</v>
      </c>
      <c r="F55" s="45"/>
      <c r="G55" s="19"/>
      <c r="H55" s="19"/>
      <c r="I55" s="19"/>
      <c r="J55" s="46"/>
    </row>
    <row r="56" spans="1:15" ht="15.75" x14ac:dyDescent="0.25">
      <c r="A56" s="55"/>
      <c r="B56" s="180" t="s">
        <v>69</v>
      </c>
      <c r="C56" s="180"/>
      <c r="D56" s="180"/>
      <c r="E56" s="49">
        <v>1867365.74</v>
      </c>
      <c r="F56" s="45"/>
      <c r="G56" s="19"/>
      <c r="H56" s="19"/>
      <c r="I56" s="19"/>
      <c r="J56" s="46"/>
    </row>
    <row r="57" spans="1:15" ht="15.75" x14ac:dyDescent="0.25">
      <c r="A57" s="55"/>
      <c r="B57" s="180" t="s">
        <v>40</v>
      </c>
      <c r="C57" s="180"/>
      <c r="D57" s="180"/>
      <c r="E57" s="49">
        <v>-319096.2</v>
      </c>
      <c r="F57" s="45"/>
      <c r="G57" s="19"/>
      <c r="H57" s="19"/>
      <c r="I57" s="19"/>
      <c r="J57" s="46"/>
    </row>
    <row r="58" spans="1:15" ht="15.75" x14ac:dyDescent="0.25">
      <c r="A58" s="185" t="s">
        <v>70</v>
      </c>
      <c r="B58" s="186"/>
      <c r="C58" s="186"/>
      <c r="D58" s="186"/>
      <c r="E58" s="48">
        <f>E59+E60</f>
        <v>539796.20000000019</v>
      </c>
      <c r="F58" s="45"/>
      <c r="G58" s="179"/>
      <c r="H58" s="179"/>
      <c r="I58" s="179"/>
      <c r="J58" s="49"/>
    </row>
    <row r="59" spans="1:15" ht="15.75" x14ac:dyDescent="0.25">
      <c r="A59" s="55"/>
      <c r="B59" s="180" t="s">
        <v>71</v>
      </c>
      <c r="C59" s="180"/>
      <c r="D59" s="180"/>
      <c r="E59" s="49">
        <f>355449.52+47989.4+138987.66+1949.6+651+24476.55+600332.91+24236.8+387021.3</f>
        <v>1581094.7400000002</v>
      </c>
      <c r="F59" s="45"/>
      <c r="G59" s="68"/>
      <c r="H59" s="68"/>
      <c r="I59" s="68"/>
      <c r="J59" s="46"/>
    </row>
    <row r="60" spans="1:15" ht="15.75" x14ac:dyDescent="0.25">
      <c r="A60" s="55"/>
      <c r="B60" s="180" t="s">
        <v>40</v>
      </c>
      <c r="C60" s="180"/>
      <c r="D60" s="180"/>
      <c r="E60" s="49">
        <f>-333525.3-707773.24</f>
        <v>-1041298.54</v>
      </c>
      <c r="F60" s="45"/>
      <c r="G60" s="68"/>
      <c r="H60" s="68"/>
      <c r="I60" s="68"/>
      <c r="J60" s="46"/>
    </row>
    <row r="61" spans="1:15" ht="15.75" x14ac:dyDescent="0.25">
      <c r="A61" s="185" t="s">
        <v>75</v>
      </c>
      <c r="B61" s="186"/>
      <c r="C61" s="186"/>
      <c r="D61" s="186"/>
      <c r="E61" s="48">
        <f>E62+E63</f>
        <v>1759.6300000000047</v>
      </c>
      <c r="F61" s="45"/>
      <c r="G61" s="19"/>
      <c r="H61" s="32"/>
      <c r="I61" s="19"/>
      <c r="J61" s="50"/>
    </row>
    <row r="62" spans="1:15" ht="15.75" x14ac:dyDescent="0.25">
      <c r="A62" s="55"/>
      <c r="B62" s="180" t="s">
        <v>42</v>
      </c>
      <c r="C62" s="180"/>
      <c r="D62" s="180"/>
      <c r="E62" s="49">
        <v>73327.8</v>
      </c>
      <c r="F62" s="45"/>
      <c r="G62" s="19"/>
      <c r="H62" s="19"/>
      <c r="I62" s="19"/>
      <c r="J62" s="50"/>
    </row>
    <row r="63" spans="1:15" ht="15.75" x14ac:dyDescent="0.25">
      <c r="A63" s="55"/>
      <c r="B63" s="180" t="s">
        <v>41</v>
      </c>
      <c r="C63" s="180"/>
      <c r="D63" s="180"/>
      <c r="E63" s="49">
        <v>-71568.17</v>
      </c>
      <c r="F63" s="45"/>
      <c r="G63" s="68"/>
      <c r="H63" s="68"/>
      <c r="I63" s="68"/>
      <c r="J63" s="46"/>
    </row>
    <row r="64" spans="1:15" ht="15.75" x14ac:dyDescent="0.25">
      <c r="A64" s="177" t="s">
        <v>76</v>
      </c>
      <c r="B64" s="178"/>
      <c r="C64" s="178"/>
      <c r="D64" s="178"/>
      <c r="E64" s="48">
        <f>E65+E66</f>
        <v>1717708.32</v>
      </c>
      <c r="F64" s="45"/>
      <c r="G64" s="68"/>
      <c r="H64" s="179"/>
      <c r="I64" s="179"/>
      <c r="J64" s="46"/>
    </row>
    <row r="65" spans="1:12" ht="15.75" x14ac:dyDescent="0.25">
      <c r="A65" s="55"/>
      <c r="B65" s="180" t="s">
        <v>56</v>
      </c>
      <c r="C65" s="180"/>
      <c r="D65" s="180"/>
      <c r="E65" s="49">
        <f>2319674.58+10830</f>
        <v>2330504.58</v>
      </c>
      <c r="F65" s="45"/>
      <c r="G65" s="68"/>
      <c r="H65" s="68"/>
      <c r="I65" s="68"/>
      <c r="J65" s="46"/>
    </row>
    <row r="66" spans="1:12" ht="15.75" x14ac:dyDescent="0.25">
      <c r="A66" s="55"/>
      <c r="B66" s="180" t="s">
        <v>41</v>
      </c>
      <c r="C66" s="180"/>
      <c r="D66" s="180"/>
      <c r="E66" s="49">
        <v>-612796.26</v>
      </c>
      <c r="F66" s="45"/>
      <c r="G66" s="68"/>
      <c r="H66" s="68"/>
      <c r="I66" s="68"/>
      <c r="J66" s="46"/>
    </row>
    <row r="67" spans="1:12" s="17" customFormat="1" ht="24" customHeight="1" x14ac:dyDescent="0.25">
      <c r="A67" s="181" t="s">
        <v>82</v>
      </c>
      <c r="B67" s="182"/>
      <c r="C67" s="182"/>
      <c r="D67" s="182"/>
      <c r="E67" s="48">
        <f>E53+E39+E12</f>
        <v>204825854.89000002</v>
      </c>
      <c r="F67" s="183" t="s">
        <v>44</v>
      </c>
      <c r="G67" s="184"/>
      <c r="H67" s="184"/>
      <c r="I67" s="184"/>
      <c r="J67" s="48">
        <f>J39+J12+J29+J46</f>
        <v>202820426.13</v>
      </c>
      <c r="L67" s="67"/>
    </row>
    <row r="68" spans="1:12" s="17" customFormat="1" ht="16.5" thickBot="1" x14ac:dyDescent="0.3">
      <c r="A68" s="60"/>
      <c r="B68" s="61"/>
      <c r="C68" s="61"/>
      <c r="D68" s="61"/>
      <c r="E68" s="62"/>
      <c r="F68" s="51"/>
      <c r="G68" s="52"/>
      <c r="H68" s="52"/>
      <c r="I68" s="52"/>
      <c r="J68" s="53"/>
    </row>
    <row r="69" spans="1:12" ht="21" customHeight="1" x14ac:dyDescent="0.2">
      <c r="A69" s="54"/>
      <c r="B69" s="35"/>
      <c r="C69" s="35"/>
      <c r="D69" s="35"/>
      <c r="E69" s="35"/>
      <c r="F69" s="35"/>
      <c r="G69" s="35"/>
      <c r="H69" s="35"/>
      <c r="I69" s="35"/>
      <c r="J69" s="36"/>
    </row>
    <row r="70" spans="1:12" ht="15.75" x14ac:dyDescent="0.2">
      <c r="A70" s="20"/>
      <c r="B70" s="21"/>
      <c r="C70" s="21"/>
      <c r="D70" s="21"/>
      <c r="E70" s="21"/>
      <c r="F70" s="21"/>
      <c r="G70" s="21"/>
      <c r="H70" s="21"/>
      <c r="I70" s="21"/>
      <c r="J70" s="22"/>
    </row>
    <row r="71" spans="1:12" ht="15.75" x14ac:dyDescent="0.2">
      <c r="A71" s="173" t="s">
        <v>45</v>
      </c>
      <c r="B71" s="174"/>
      <c r="C71" s="174"/>
      <c r="D71" s="174"/>
      <c r="E71" s="174"/>
      <c r="F71" s="174" t="s">
        <v>46</v>
      </c>
      <c r="G71" s="174"/>
      <c r="H71" s="174"/>
      <c r="I71" s="174"/>
      <c r="J71" s="175"/>
    </row>
    <row r="72" spans="1:12" ht="15.75" x14ac:dyDescent="0.25">
      <c r="A72" s="163" t="s">
        <v>61</v>
      </c>
      <c r="B72" s="164"/>
      <c r="C72" s="164"/>
      <c r="D72" s="164"/>
      <c r="E72" s="164"/>
      <c r="F72" s="176"/>
      <c r="G72" s="176"/>
      <c r="H72" s="176"/>
      <c r="I72" s="176"/>
      <c r="J72" s="23"/>
    </row>
    <row r="73" spans="1:12" ht="15.75" x14ac:dyDescent="0.25">
      <c r="A73" s="163" t="s">
        <v>59</v>
      </c>
      <c r="B73" s="164"/>
      <c r="C73" s="164"/>
      <c r="D73" s="164"/>
      <c r="E73" s="164"/>
      <c r="F73" s="164" t="s">
        <v>47</v>
      </c>
      <c r="G73" s="164"/>
      <c r="H73" s="164"/>
      <c r="I73" s="164"/>
      <c r="J73" s="165"/>
    </row>
    <row r="74" spans="1:12" ht="15.75" x14ac:dyDescent="0.25">
      <c r="A74" s="163" t="s">
        <v>62</v>
      </c>
      <c r="B74" s="164"/>
      <c r="C74" s="164"/>
      <c r="D74" s="164"/>
      <c r="E74" s="164"/>
      <c r="F74" s="164" t="s">
        <v>48</v>
      </c>
      <c r="G74" s="164"/>
      <c r="H74" s="164"/>
      <c r="I74" s="164"/>
      <c r="J74" s="165"/>
      <c r="K74" s="24"/>
    </row>
    <row r="75" spans="1:12" ht="15.75" x14ac:dyDescent="0.25">
      <c r="A75" s="163" t="s">
        <v>49</v>
      </c>
      <c r="B75" s="164"/>
      <c r="C75" s="164"/>
      <c r="D75" s="164"/>
      <c r="E75" s="164"/>
      <c r="F75" s="164" t="s">
        <v>50</v>
      </c>
      <c r="G75" s="164"/>
      <c r="H75" s="164"/>
      <c r="I75" s="164"/>
      <c r="J75" s="165"/>
    </row>
    <row r="76" spans="1:12" ht="15.75" x14ac:dyDescent="0.25">
      <c r="A76" s="163" t="s">
        <v>64</v>
      </c>
      <c r="B76" s="164"/>
      <c r="C76" s="164"/>
      <c r="D76" s="164"/>
      <c r="E76" s="164"/>
      <c r="F76" s="169"/>
      <c r="G76" s="169"/>
      <c r="H76" s="169"/>
      <c r="I76" s="169"/>
      <c r="J76" s="170"/>
    </row>
    <row r="77" spans="1:12" ht="15.75" x14ac:dyDescent="0.25">
      <c r="A77" s="163" t="s">
        <v>65</v>
      </c>
      <c r="B77" s="164"/>
      <c r="C77" s="164"/>
      <c r="D77" s="164"/>
      <c r="E77" s="164"/>
      <c r="F77" s="171" t="s">
        <v>51</v>
      </c>
      <c r="G77" s="171"/>
      <c r="H77" s="171"/>
      <c r="I77" s="171"/>
      <c r="J77" s="172"/>
    </row>
    <row r="78" spans="1:12" ht="15.75" x14ac:dyDescent="0.25">
      <c r="A78" s="163" t="s">
        <v>60</v>
      </c>
      <c r="B78" s="164"/>
      <c r="C78" s="164"/>
      <c r="D78" s="164"/>
      <c r="E78" s="164"/>
      <c r="F78" s="164" t="s">
        <v>52</v>
      </c>
      <c r="G78" s="164"/>
      <c r="H78" s="164"/>
      <c r="I78" s="164"/>
      <c r="J78" s="165"/>
    </row>
    <row r="79" spans="1:12" ht="16.5" thickBot="1" x14ac:dyDescent="0.3">
      <c r="A79" s="166" t="s">
        <v>53</v>
      </c>
      <c r="B79" s="167"/>
      <c r="C79" s="167"/>
      <c r="D79" s="167"/>
      <c r="E79" s="167"/>
      <c r="F79" s="167" t="s">
        <v>54</v>
      </c>
      <c r="G79" s="167"/>
      <c r="H79" s="167"/>
      <c r="I79" s="167"/>
      <c r="J79" s="168"/>
    </row>
    <row r="80" spans="1:12" ht="13.5" thickTop="1" x14ac:dyDescent="0.2"/>
    <row r="81" spans="1: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4" spans="1:10" x14ac:dyDescent="0.2">
      <c r="F84" s="27"/>
    </row>
    <row r="86" spans="1:10" x14ac:dyDescent="0.2">
      <c r="J86" s="28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93"/>
  <sheetViews>
    <sheetView tabSelected="1" workbookViewId="0">
      <selection activeCell="V17" sqref="V17"/>
    </sheetView>
  </sheetViews>
  <sheetFormatPr defaultRowHeight="12.75" x14ac:dyDescent="0.2"/>
  <cols>
    <col min="1" max="1" width="9.140625" style="5"/>
    <col min="2" max="4" width="1.7109375" style="5" customWidth="1"/>
    <col min="5" max="5" width="46.5703125" style="7" customWidth="1"/>
    <col min="6" max="6" width="9.85546875" style="7" customWidth="1"/>
    <col min="7" max="9" width="1.7109375" style="5" customWidth="1"/>
    <col min="10" max="10" width="45.140625" style="7" customWidth="1"/>
    <col min="11" max="11" width="10.140625" style="25" customWidth="1"/>
    <col min="12" max="12" width="9.140625" style="5"/>
    <col min="13" max="13" width="0.42578125" style="5" customWidth="1"/>
    <col min="14" max="19" width="9.140625" style="5" hidden="1" customWidth="1"/>
    <col min="20" max="16384" width="9.140625" style="5"/>
  </cols>
  <sheetData>
    <row r="1" spans="2:11" x14ac:dyDescent="0.2">
      <c r="B1" s="86"/>
      <c r="C1" s="86"/>
      <c r="D1" s="86"/>
      <c r="E1" s="87"/>
      <c r="F1" s="87"/>
      <c r="G1" s="86"/>
      <c r="H1" s="86"/>
      <c r="I1" s="86"/>
      <c r="J1" s="87"/>
      <c r="K1" s="88"/>
    </row>
    <row r="2" spans="2:11" x14ac:dyDescent="0.2">
      <c r="B2" s="86"/>
      <c r="C2" s="86"/>
      <c r="D2" s="86"/>
      <c r="E2" s="87"/>
      <c r="F2" s="87"/>
      <c r="G2" s="86"/>
      <c r="H2" s="86"/>
      <c r="I2" s="86"/>
      <c r="J2" s="87"/>
      <c r="K2" s="88"/>
    </row>
    <row r="3" spans="2:11" x14ac:dyDescent="0.2">
      <c r="B3" s="86"/>
      <c r="C3" s="86"/>
      <c r="D3" s="86"/>
      <c r="E3" s="87"/>
      <c r="F3" s="87"/>
      <c r="G3" s="86"/>
      <c r="H3" s="86"/>
      <c r="I3" s="86"/>
      <c r="J3" s="87"/>
      <c r="K3" s="88"/>
    </row>
    <row r="4" spans="2:11" x14ac:dyDescent="0.2">
      <c r="B4" s="209"/>
      <c r="C4" s="209"/>
      <c r="D4" s="209"/>
      <c r="E4" s="209"/>
      <c r="F4" s="209"/>
      <c r="G4" s="209"/>
      <c r="H4" s="209"/>
      <c r="I4" s="209"/>
      <c r="J4" s="209"/>
      <c r="K4" s="209"/>
    </row>
    <row r="5" spans="2:11" x14ac:dyDescent="0.2"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2:11" ht="15.75" x14ac:dyDescent="0.2">
      <c r="B6" s="210"/>
      <c r="C6" s="210"/>
      <c r="D6" s="210"/>
      <c r="E6" s="210"/>
      <c r="F6" s="210"/>
      <c r="G6" s="210"/>
      <c r="H6" s="210"/>
      <c r="I6" s="210"/>
      <c r="J6" s="210"/>
      <c r="K6" s="210"/>
    </row>
    <row r="7" spans="2:11" ht="21.75" customHeight="1" x14ac:dyDescent="0.2">
      <c r="B7" s="233" t="s">
        <v>90</v>
      </c>
      <c r="C7" s="233"/>
      <c r="D7" s="233"/>
      <c r="E7" s="233"/>
      <c r="F7" s="233"/>
      <c r="G7" s="233"/>
      <c r="H7" s="233"/>
      <c r="I7" s="233"/>
      <c r="J7" s="233"/>
      <c r="K7" s="233"/>
    </row>
    <row r="8" spans="2:11" ht="11.25" customHeight="1" x14ac:dyDescent="0.25">
      <c r="B8" s="234" t="s">
        <v>91</v>
      </c>
      <c r="C8" s="234"/>
      <c r="D8" s="234"/>
      <c r="E8" s="234"/>
      <c r="F8" s="234"/>
      <c r="G8" s="90"/>
      <c r="H8" s="90"/>
      <c r="I8" s="90"/>
      <c r="J8" s="91"/>
      <c r="K8" s="92"/>
    </row>
    <row r="9" spans="2:11" ht="15.75" x14ac:dyDescent="0.25">
      <c r="B9" s="234" t="s">
        <v>92</v>
      </c>
      <c r="C9" s="234"/>
      <c r="D9" s="234"/>
      <c r="E9" s="234"/>
      <c r="F9" s="234"/>
      <c r="G9" s="234"/>
      <c r="H9" s="234"/>
      <c r="I9" s="234"/>
      <c r="J9" s="234"/>
      <c r="K9" s="92"/>
    </row>
    <row r="10" spans="2:11" ht="15.75" x14ac:dyDescent="0.25">
      <c r="B10" s="126"/>
      <c r="C10" s="232" t="s">
        <v>156</v>
      </c>
      <c r="D10" s="232"/>
      <c r="E10" s="232"/>
      <c r="F10" s="232"/>
      <c r="G10" s="232"/>
      <c r="H10" s="232"/>
      <c r="I10" s="232"/>
      <c r="J10" s="232"/>
      <c r="K10" s="232"/>
    </row>
    <row r="11" spans="2:11" x14ac:dyDescent="0.2">
      <c r="B11" s="93"/>
      <c r="C11" s="93"/>
      <c r="D11" s="93"/>
      <c r="E11" s="94"/>
      <c r="F11" s="94"/>
      <c r="G11" s="93"/>
      <c r="H11" s="93"/>
      <c r="I11" s="93"/>
      <c r="J11" s="211" t="s">
        <v>93</v>
      </c>
      <c r="K11" s="211"/>
    </row>
    <row r="12" spans="2:11" s="16" customFormat="1" ht="15.75" x14ac:dyDescent="0.25">
      <c r="B12" s="212" t="s">
        <v>4</v>
      </c>
      <c r="C12" s="213"/>
      <c r="D12" s="213"/>
      <c r="E12" s="214"/>
      <c r="F12" s="95">
        <v>45169</v>
      </c>
      <c r="G12" s="235"/>
      <c r="H12" s="215"/>
      <c r="I12" s="215"/>
      <c r="J12" s="216"/>
      <c r="K12" s="95">
        <f>F12</f>
        <v>45169</v>
      </c>
    </row>
    <row r="13" spans="2:11" s="16" customFormat="1" ht="15.75" x14ac:dyDescent="0.25">
      <c r="B13" s="96"/>
      <c r="C13" s="97"/>
      <c r="D13" s="97"/>
      <c r="E13" s="98"/>
      <c r="F13" s="99"/>
      <c r="G13" s="97"/>
      <c r="H13" s="97"/>
      <c r="I13" s="97"/>
      <c r="J13" s="97"/>
      <c r="K13" s="100"/>
    </row>
    <row r="14" spans="2:11" s="17" customFormat="1" ht="15.75" x14ac:dyDescent="0.25">
      <c r="B14" s="101" t="s">
        <v>7</v>
      </c>
      <c r="C14" s="101"/>
      <c r="D14" s="101"/>
      <c r="E14" s="101"/>
      <c r="F14" s="102">
        <f>SUM(F16+F19+F22+F28+F32)</f>
        <v>194959</v>
      </c>
      <c r="G14" s="101" t="s">
        <v>7</v>
      </c>
      <c r="H14" s="101"/>
      <c r="I14" s="101"/>
      <c r="J14" s="101"/>
      <c r="K14" s="102">
        <f>SUM(K23+K16)</f>
        <v>36259</v>
      </c>
    </row>
    <row r="15" spans="2:11" s="17" customFormat="1" ht="6.75" customHeight="1" x14ac:dyDescent="0.25">
      <c r="B15" s="103"/>
      <c r="C15" s="104"/>
      <c r="D15" s="104"/>
      <c r="E15" s="105"/>
      <c r="F15" s="106"/>
      <c r="G15" s="101"/>
      <c r="H15" s="107"/>
      <c r="I15" s="107"/>
      <c r="J15" s="107"/>
      <c r="K15" s="108"/>
    </row>
    <row r="16" spans="2:11" s="17" customFormat="1" ht="15.75" x14ac:dyDescent="0.25">
      <c r="B16" s="109"/>
      <c r="C16" s="104" t="s">
        <v>94</v>
      </c>
      <c r="D16" s="104"/>
      <c r="E16" s="104"/>
      <c r="F16" s="102">
        <v>8</v>
      </c>
      <c r="G16" s="107"/>
      <c r="H16" s="104" t="s">
        <v>132</v>
      </c>
      <c r="I16" s="110"/>
      <c r="J16" s="107"/>
      <c r="K16" s="102">
        <f>SUM(K17:K21)</f>
        <v>24578</v>
      </c>
    </row>
    <row r="17" spans="2:15" s="17" customFormat="1" ht="15.75" x14ac:dyDescent="0.25">
      <c r="B17" s="109"/>
      <c r="C17" s="104"/>
      <c r="D17" s="104"/>
      <c r="E17" s="104"/>
      <c r="F17" s="102"/>
      <c r="G17" s="107"/>
      <c r="H17" s="104"/>
      <c r="I17" s="110"/>
      <c r="J17" s="157" t="s">
        <v>12</v>
      </c>
      <c r="K17" s="111">
        <v>585</v>
      </c>
    </row>
    <row r="18" spans="2:15" s="17" customFormat="1" ht="15.75" x14ac:dyDescent="0.25">
      <c r="B18" s="109"/>
      <c r="C18" s="104"/>
      <c r="D18" s="104"/>
      <c r="E18" s="105"/>
      <c r="F18" s="102"/>
      <c r="G18" s="107"/>
      <c r="H18" s="107" t="s">
        <v>95</v>
      </c>
      <c r="I18" s="110"/>
      <c r="J18" s="157" t="s">
        <v>57</v>
      </c>
      <c r="K18" s="111">
        <v>2995</v>
      </c>
      <c r="M18" s="112" t="s">
        <v>96</v>
      </c>
    </row>
    <row r="19" spans="2:15" s="17" customFormat="1" ht="15.75" x14ac:dyDescent="0.25">
      <c r="B19" s="109"/>
      <c r="C19" s="104" t="s">
        <v>97</v>
      </c>
      <c r="D19" s="113"/>
      <c r="E19" s="114"/>
      <c r="F19" s="102">
        <f>SUM(F20)</f>
        <v>126488</v>
      </c>
      <c r="G19" s="107"/>
      <c r="H19" s="107"/>
      <c r="I19" s="110"/>
      <c r="J19" s="157" t="s">
        <v>98</v>
      </c>
      <c r="K19" s="111">
        <v>303</v>
      </c>
    </row>
    <row r="20" spans="2:15" s="17" customFormat="1" ht="15.75" x14ac:dyDescent="0.25">
      <c r="B20" s="109"/>
      <c r="C20" s="113"/>
      <c r="D20" s="113"/>
      <c r="E20" s="159" t="s">
        <v>148</v>
      </c>
      <c r="F20" s="111">
        <v>126488</v>
      </c>
      <c r="G20" s="107"/>
      <c r="H20" s="107"/>
      <c r="I20" s="110"/>
      <c r="J20" s="158" t="s">
        <v>87</v>
      </c>
      <c r="K20" s="111">
        <v>4031</v>
      </c>
    </row>
    <row r="21" spans="2:15" s="17" customFormat="1" ht="15.75" x14ac:dyDescent="0.25">
      <c r="B21" s="109"/>
      <c r="C21" s="115"/>
      <c r="D21" s="113"/>
      <c r="E21" s="114"/>
      <c r="F21" s="102"/>
      <c r="G21" s="107"/>
      <c r="H21" s="107"/>
      <c r="I21" s="110"/>
      <c r="J21" s="158" t="s">
        <v>86</v>
      </c>
      <c r="K21" s="111">
        <f>8104+8560</f>
        <v>16664</v>
      </c>
    </row>
    <row r="22" spans="2:15" ht="15.75" x14ac:dyDescent="0.25">
      <c r="B22" s="109"/>
      <c r="C22" s="104" t="s">
        <v>133</v>
      </c>
      <c r="D22" s="104"/>
      <c r="E22" s="104"/>
      <c r="F22" s="102">
        <f>F23+F24+F25+F26</f>
        <v>49147</v>
      </c>
      <c r="G22" s="107"/>
      <c r="H22" s="107"/>
      <c r="I22" s="110"/>
      <c r="J22" s="110"/>
      <c r="K22" s="111"/>
      <c r="O22" s="116" t="s">
        <v>96</v>
      </c>
    </row>
    <row r="23" spans="2:15" ht="15.75" x14ac:dyDescent="0.25">
      <c r="B23" s="109"/>
      <c r="C23" s="113"/>
      <c r="D23" s="104"/>
      <c r="E23" s="160" t="s">
        <v>19</v>
      </c>
      <c r="F23" s="111">
        <v>34695</v>
      </c>
      <c r="G23" s="117"/>
      <c r="H23" s="104" t="s">
        <v>134</v>
      </c>
      <c r="I23" s="104"/>
      <c r="J23" s="104"/>
      <c r="K23" s="124">
        <f>SUM(K24:K26)</f>
        <v>11681</v>
      </c>
    </row>
    <row r="24" spans="2:15" ht="15.75" x14ac:dyDescent="0.25">
      <c r="B24" s="109"/>
      <c r="C24" s="115"/>
      <c r="D24" s="115"/>
      <c r="E24" s="156" t="s">
        <v>21</v>
      </c>
      <c r="F24" s="111">
        <v>18570</v>
      </c>
      <c r="G24" s="117"/>
      <c r="H24" s="107"/>
      <c r="I24" s="157"/>
      <c r="J24" s="157" t="s">
        <v>16</v>
      </c>
      <c r="K24" s="119">
        <v>0</v>
      </c>
    </row>
    <row r="25" spans="2:15" ht="15.75" x14ac:dyDescent="0.25">
      <c r="B25" s="109"/>
      <c r="C25" s="115"/>
      <c r="D25" s="115"/>
      <c r="E25" s="156" t="s">
        <v>99</v>
      </c>
      <c r="F25" s="111">
        <v>2678</v>
      </c>
      <c r="G25" s="117"/>
      <c r="H25" s="107"/>
      <c r="I25" s="157"/>
      <c r="J25" s="157" t="s">
        <v>18</v>
      </c>
      <c r="K25" s="119">
        <v>1214</v>
      </c>
      <c r="O25"/>
    </row>
    <row r="26" spans="2:15" ht="15.75" x14ac:dyDescent="0.25">
      <c r="B26" s="109"/>
      <c r="C26" s="115"/>
      <c r="D26" s="115"/>
      <c r="E26" s="156" t="s">
        <v>22</v>
      </c>
      <c r="F26" s="111">
        <v>-6796</v>
      </c>
      <c r="G26" s="117"/>
      <c r="H26" s="110"/>
      <c r="I26" s="229" t="s">
        <v>100</v>
      </c>
      <c r="J26" s="229"/>
      <c r="K26" s="119">
        <v>10467</v>
      </c>
    </row>
    <row r="27" spans="2:15" ht="15.75" x14ac:dyDescent="0.25">
      <c r="B27" s="109"/>
      <c r="C27" s="115"/>
      <c r="D27" s="115"/>
      <c r="E27" s="118"/>
      <c r="F27" s="111"/>
      <c r="G27" s="117"/>
      <c r="H27" s="110"/>
      <c r="I27" s="110"/>
      <c r="J27" s="110"/>
      <c r="K27" s="119"/>
    </row>
    <row r="28" spans="2:15" ht="15.75" x14ac:dyDescent="0.25">
      <c r="B28" s="109"/>
      <c r="C28" s="104" t="s">
        <v>101</v>
      </c>
      <c r="D28" s="104"/>
      <c r="E28" s="104"/>
      <c r="F28" s="102">
        <f>F29+F30</f>
        <v>12817</v>
      </c>
      <c r="G28" s="117"/>
      <c r="H28" s="110"/>
      <c r="I28" s="110"/>
      <c r="J28" s="110"/>
      <c r="K28" s="120"/>
    </row>
    <row r="29" spans="2:15" ht="15.75" x14ac:dyDescent="0.25">
      <c r="B29" s="109"/>
      <c r="C29" s="115"/>
      <c r="D29" s="121"/>
      <c r="E29" s="156" t="s">
        <v>149</v>
      </c>
      <c r="F29" s="111">
        <f>21787-8970+10395</f>
        <v>23212</v>
      </c>
      <c r="G29" s="101" t="s">
        <v>102</v>
      </c>
      <c r="H29" s="122"/>
      <c r="I29" s="122"/>
      <c r="J29" s="123"/>
      <c r="K29" s="124">
        <f>K31+K40+K50</f>
        <v>213609</v>
      </c>
    </row>
    <row r="30" spans="2:15" ht="15.75" x14ac:dyDescent="0.25">
      <c r="B30" s="101"/>
      <c r="C30" s="104"/>
      <c r="D30" s="104"/>
      <c r="E30" s="161" t="s">
        <v>84</v>
      </c>
      <c r="F30" s="111">
        <v>-10395</v>
      </c>
      <c r="G30" s="101"/>
      <c r="H30" s="122"/>
      <c r="I30" s="122"/>
      <c r="J30" s="122"/>
      <c r="K30" s="124"/>
    </row>
    <row r="31" spans="2:15" ht="15.75" x14ac:dyDescent="0.25">
      <c r="B31" s="101"/>
      <c r="C31" s="104"/>
      <c r="D31" s="104"/>
      <c r="E31" s="115"/>
      <c r="F31" s="111"/>
      <c r="G31" s="103" t="s">
        <v>25</v>
      </c>
      <c r="H31" s="101"/>
      <c r="I31" s="101"/>
      <c r="J31" s="101"/>
      <c r="K31" s="124">
        <f>K33</f>
        <v>24043</v>
      </c>
    </row>
    <row r="32" spans="2:15" ht="15.75" x14ac:dyDescent="0.25">
      <c r="B32" s="101"/>
      <c r="C32" s="104" t="s">
        <v>103</v>
      </c>
      <c r="D32" s="104"/>
      <c r="E32" s="104"/>
      <c r="F32" s="102">
        <f>F33+F34</f>
        <v>6499</v>
      </c>
      <c r="G32" s="115"/>
      <c r="H32" s="107"/>
      <c r="I32" s="107"/>
      <c r="J32" s="107"/>
      <c r="K32" s="124"/>
    </row>
    <row r="33" spans="2:11" ht="15.75" x14ac:dyDescent="0.25">
      <c r="B33" s="101"/>
      <c r="C33" s="115"/>
      <c r="D33" s="115"/>
      <c r="E33" s="156" t="s">
        <v>135</v>
      </c>
      <c r="F33" s="111">
        <f>6632+179</f>
        <v>6811</v>
      </c>
      <c r="G33" s="115"/>
      <c r="H33" s="104" t="s">
        <v>136</v>
      </c>
      <c r="I33" s="107"/>
      <c r="J33" s="107"/>
      <c r="K33" s="124">
        <f>SUM(K34:K38)</f>
        <v>24043</v>
      </c>
    </row>
    <row r="34" spans="2:11" ht="15.75" x14ac:dyDescent="0.25">
      <c r="B34" s="101"/>
      <c r="C34" s="115"/>
      <c r="D34" s="115"/>
      <c r="E34" s="159" t="s">
        <v>104</v>
      </c>
      <c r="F34" s="111">
        <v>-312</v>
      </c>
      <c r="G34" s="115"/>
      <c r="H34" s="107"/>
      <c r="I34" s="107"/>
      <c r="J34" s="157" t="s">
        <v>12</v>
      </c>
      <c r="K34" s="119">
        <v>174</v>
      </c>
    </row>
    <row r="35" spans="2:11" ht="15.75" x14ac:dyDescent="0.25">
      <c r="B35" s="101"/>
      <c r="C35" s="115"/>
      <c r="D35" s="115"/>
      <c r="E35" s="113"/>
      <c r="F35" s="111"/>
      <c r="G35" s="115"/>
      <c r="H35" s="107"/>
      <c r="I35" s="107"/>
      <c r="J35" s="157" t="s">
        <v>57</v>
      </c>
      <c r="K35" s="119">
        <v>4312</v>
      </c>
    </row>
    <row r="36" spans="2:11" ht="15.75" x14ac:dyDescent="0.25">
      <c r="B36" s="101" t="s">
        <v>102</v>
      </c>
      <c r="C36" s="115"/>
      <c r="D36" s="115"/>
      <c r="E36" s="118"/>
      <c r="F36" s="102">
        <f>F37+F49</f>
        <v>54909</v>
      </c>
      <c r="G36" s="115"/>
      <c r="H36" s="107"/>
      <c r="I36" s="107"/>
      <c r="J36" s="157" t="s">
        <v>98</v>
      </c>
      <c r="K36" s="119">
        <v>3516</v>
      </c>
    </row>
    <row r="37" spans="2:11" ht="15.75" x14ac:dyDescent="0.25">
      <c r="B37" s="101" t="s">
        <v>105</v>
      </c>
      <c r="C37" s="115"/>
      <c r="D37" s="115"/>
      <c r="E37" s="118"/>
      <c r="F37" s="102">
        <f>F39+F44+F45</f>
        <v>51072</v>
      </c>
      <c r="G37" s="115"/>
      <c r="H37" s="107"/>
      <c r="I37" s="107"/>
      <c r="J37" s="158" t="s">
        <v>87</v>
      </c>
      <c r="K37" s="119"/>
    </row>
    <row r="38" spans="2:11" ht="15.75" x14ac:dyDescent="0.25">
      <c r="B38" s="101"/>
      <c r="C38" s="115"/>
      <c r="D38" s="115"/>
      <c r="E38" s="121"/>
      <c r="F38" s="102"/>
      <c r="G38" s="115"/>
      <c r="H38" s="107"/>
      <c r="I38" s="107"/>
      <c r="J38" s="158" t="s">
        <v>86</v>
      </c>
      <c r="K38" s="119">
        <v>16041</v>
      </c>
    </row>
    <row r="39" spans="2:11" ht="15.75" x14ac:dyDescent="0.25">
      <c r="B39" s="101"/>
      <c r="C39" s="104" t="s">
        <v>137</v>
      </c>
      <c r="D39" s="104"/>
      <c r="E39" s="125"/>
      <c r="F39" s="102">
        <f>F40+F41+F42+F43</f>
        <v>42102</v>
      </c>
      <c r="G39" s="115"/>
      <c r="H39" s="107"/>
      <c r="I39" s="107"/>
      <c r="J39" s="107"/>
      <c r="K39" s="120"/>
    </row>
    <row r="40" spans="2:11" ht="15.75" x14ac:dyDescent="0.25">
      <c r="B40" s="101"/>
      <c r="C40" s="115"/>
      <c r="D40" s="104"/>
      <c r="E40" s="160" t="s">
        <v>19</v>
      </c>
      <c r="F40" s="111">
        <v>17688</v>
      </c>
      <c r="G40" s="101" t="s">
        <v>29</v>
      </c>
      <c r="H40" s="101"/>
      <c r="I40" s="101"/>
      <c r="J40" s="101"/>
      <c r="K40" s="102">
        <f>SUM(K41:K44)</f>
        <v>189094</v>
      </c>
    </row>
    <row r="41" spans="2:11" ht="15.75" x14ac:dyDescent="0.25">
      <c r="B41" s="101"/>
      <c r="C41" s="115"/>
      <c r="D41" s="115"/>
      <c r="E41" s="156" t="s">
        <v>21</v>
      </c>
      <c r="F41" s="111">
        <v>21820</v>
      </c>
      <c r="G41" s="117"/>
      <c r="H41" s="110"/>
      <c r="I41" s="110"/>
      <c r="J41" s="156" t="s">
        <v>138</v>
      </c>
      <c r="K41" s="119">
        <v>186394</v>
      </c>
    </row>
    <row r="42" spans="2:11" ht="15.75" x14ac:dyDescent="0.25">
      <c r="B42" s="101"/>
      <c r="C42" s="115"/>
      <c r="D42" s="115"/>
      <c r="E42" s="156" t="s">
        <v>99</v>
      </c>
      <c r="F42" s="111">
        <v>5338</v>
      </c>
      <c r="G42" s="117"/>
      <c r="H42" s="110"/>
      <c r="I42" s="110"/>
      <c r="J42" s="157" t="s">
        <v>150</v>
      </c>
      <c r="K42" s="119"/>
    </row>
    <row r="43" spans="2:11" ht="15.75" x14ac:dyDescent="0.25">
      <c r="B43" s="101"/>
      <c r="C43" s="115"/>
      <c r="D43" s="115"/>
      <c r="E43" s="156" t="s">
        <v>22</v>
      </c>
      <c r="F43" s="111">
        <v>-2744</v>
      </c>
      <c r="G43" s="117"/>
      <c r="H43" s="110"/>
      <c r="I43" s="110"/>
      <c r="J43" s="157" t="s">
        <v>32</v>
      </c>
      <c r="K43" s="119">
        <v>2700</v>
      </c>
    </row>
    <row r="44" spans="2:11" ht="15.75" x14ac:dyDescent="0.25">
      <c r="B44" s="101"/>
      <c r="C44" s="104"/>
      <c r="D44" s="104"/>
      <c r="E44" s="104"/>
      <c r="F44" s="102"/>
      <c r="G44" s="117"/>
      <c r="H44" s="110"/>
      <c r="I44" s="110"/>
      <c r="J44" s="157" t="s">
        <v>147</v>
      </c>
      <c r="K44" s="119">
        <v>0</v>
      </c>
    </row>
    <row r="45" spans="2:11" ht="15.75" x14ac:dyDescent="0.25">
      <c r="B45" s="101"/>
      <c r="C45" s="104" t="s">
        <v>106</v>
      </c>
      <c r="D45" s="104"/>
      <c r="E45" s="104"/>
      <c r="F45" s="102">
        <f>F46+F47</f>
        <v>8970</v>
      </c>
      <c r="G45" s="117"/>
      <c r="H45" s="117"/>
      <c r="I45" s="117"/>
      <c r="J45" s="117"/>
      <c r="K45" s="120"/>
    </row>
    <row r="46" spans="2:11" ht="15.75" x14ac:dyDescent="0.25">
      <c r="B46" s="101"/>
      <c r="C46" s="115"/>
      <c r="D46" s="115"/>
      <c r="E46" s="156" t="s">
        <v>139</v>
      </c>
      <c r="F46" s="111">
        <f>8527+443+4</f>
        <v>8974</v>
      </c>
      <c r="G46" s="117"/>
      <c r="H46" s="117"/>
      <c r="I46" s="117"/>
      <c r="J46" s="110"/>
      <c r="K46" s="120"/>
    </row>
    <row r="47" spans="2:11" ht="15.75" x14ac:dyDescent="0.25">
      <c r="B47" s="101"/>
      <c r="C47" s="115"/>
      <c r="D47" s="115"/>
      <c r="E47" s="161" t="s">
        <v>84</v>
      </c>
      <c r="F47" s="111">
        <f>-4</f>
        <v>-4</v>
      </c>
      <c r="G47" s="117"/>
      <c r="H47" s="117"/>
      <c r="I47" s="117"/>
      <c r="J47" s="117"/>
      <c r="K47" s="120"/>
    </row>
    <row r="48" spans="2:11" ht="15.75" x14ac:dyDescent="0.25">
      <c r="B48" s="101"/>
      <c r="C48" s="115"/>
      <c r="D48" s="115"/>
      <c r="E48" s="121"/>
      <c r="F48" s="111"/>
      <c r="G48" s="117"/>
      <c r="H48" s="117"/>
      <c r="I48" s="117"/>
      <c r="J48" s="117"/>
      <c r="K48" s="120"/>
    </row>
    <row r="49" spans="2:28" ht="15.75" x14ac:dyDescent="0.25">
      <c r="B49" s="101" t="s">
        <v>140</v>
      </c>
      <c r="C49" s="101"/>
      <c r="D49" s="101"/>
      <c r="E49" s="101"/>
      <c r="F49" s="102">
        <f>F50+F52+F63</f>
        <v>3837</v>
      </c>
      <c r="G49" s="117"/>
      <c r="H49" s="117"/>
      <c r="I49" s="117"/>
      <c r="J49" s="117"/>
      <c r="K49" s="120"/>
    </row>
    <row r="50" spans="2:28" ht="15.75" x14ac:dyDescent="0.25">
      <c r="B50" s="101"/>
      <c r="C50" s="126" t="s">
        <v>107</v>
      </c>
      <c r="D50" s="126"/>
      <c r="E50" s="126"/>
      <c r="F50" s="102">
        <f>F51</f>
        <v>10</v>
      </c>
      <c r="G50" s="47" t="s">
        <v>33</v>
      </c>
      <c r="H50" s="117"/>
      <c r="I50" s="117"/>
      <c r="J50" s="117"/>
      <c r="K50" s="124">
        <f>K52+K53+K54+K55+K56+K57+K58+K59+K60</f>
        <v>472</v>
      </c>
    </row>
    <row r="51" spans="2:28" ht="15.75" x14ac:dyDescent="0.25">
      <c r="B51" s="101"/>
      <c r="C51" s="126"/>
      <c r="D51" s="126"/>
      <c r="E51" s="161" t="s">
        <v>89</v>
      </c>
      <c r="F51" s="111">
        <v>10</v>
      </c>
      <c r="G51" s="117"/>
      <c r="H51" s="117"/>
      <c r="I51" s="117"/>
      <c r="J51" s="117"/>
      <c r="K51" s="120"/>
    </row>
    <row r="52" spans="2:28" ht="15.75" x14ac:dyDescent="0.25">
      <c r="B52" s="101"/>
      <c r="C52" s="126" t="s">
        <v>109</v>
      </c>
      <c r="D52" s="126"/>
      <c r="E52" s="115"/>
      <c r="F52" s="102">
        <f>F54+F58+F61</f>
        <v>3827</v>
      </c>
      <c r="G52" s="117"/>
      <c r="H52" s="117"/>
      <c r="I52" s="117"/>
      <c r="J52" s="155" t="s">
        <v>34</v>
      </c>
      <c r="K52" s="119">
        <v>9066</v>
      </c>
    </row>
    <row r="53" spans="2:28" ht="13.5" customHeight="1" x14ac:dyDescent="0.25">
      <c r="B53" s="101"/>
      <c r="C53" s="126"/>
      <c r="D53" s="126"/>
      <c r="E53" s="126"/>
      <c r="F53" s="102"/>
      <c r="G53" s="117"/>
      <c r="H53" s="117"/>
      <c r="I53" s="117"/>
      <c r="J53" s="155" t="s">
        <v>127</v>
      </c>
      <c r="K53" s="119">
        <v>0</v>
      </c>
    </row>
    <row r="54" spans="2:28" ht="15.75" x14ac:dyDescent="0.25">
      <c r="B54" s="101"/>
      <c r="C54" s="126"/>
      <c r="D54" s="126" t="s">
        <v>108</v>
      </c>
      <c r="E54" s="126"/>
      <c r="F54" s="102">
        <f>F55+F56+F57</f>
        <v>3340</v>
      </c>
      <c r="G54" s="117"/>
      <c r="H54" s="117"/>
      <c r="I54" s="117"/>
      <c r="J54" s="155" t="s">
        <v>128</v>
      </c>
      <c r="K54" s="119">
        <v>-8812</v>
      </c>
    </row>
    <row r="55" spans="2:28" ht="15.75" x14ac:dyDescent="0.25">
      <c r="B55" s="101"/>
      <c r="C55" s="126"/>
      <c r="D55" s="126"/>
      <c r="E55" s="161" t="s">
        <v>68</v>
      </c>
      <c r="F55" s="111">
        <v>2422</v>
      </c>
      <c r="G55" s="117"/>
      <c r="H55" s="117"/>
      <c r="I55" s="117"/>
      <c r="J55" s="155" t="s">
        <v>74</v>
      </c>
      <c r="K55" s="119"/>
    </row>
    <row r="56" spans="2:28" ht="15.75" x14ac:dyDescent="0.25">
      <c r="B56" s="101"/>
      <c r="C56" s="126"/>
      <c r="D56" s="126"/>
      <c r="E56" s="161" t="s">
        <v>69</v>
      </c>
      <c r="F56" s="111">
        <v>1867</v>
      </c>
      <c r="G56" s="117"/>
      <c r="H56" s="117"/>
      <c r="I56" s="117"/>
      <c r="J56" s="155" t="s">
        <v>124</v>
      </c>
      <c r="K56" s="119"/>
    </row>
    <row r="57" spans="2:28" ht="15.75" x14ac:dyDescent="0.25">
      <c r="B57" s="101"/>
      <c r="C57" s="126"/>
      <c r="D57" s="126"/>
      <c r="E57" s="161" t="s">
        <v>40</v>
      </c>
      <c r="F57" s="111">
        <v>-949</v>
      </c>
      <c r="G57" s="117"/>
      <c r="H57" s="117"/>
      <c r="I57" s="117"/>
      <c r="J57" s="155" t="s">
        <v>129</v>
      </c>
      <c r="K57" s="119">
        <v>121</v>
      </c>
    </row>
    <row r="58" spans="2:28" ht="15.75" x14ac:dyDescent="0.25">
      <c r="B58" s="109"/>
      <c r="C58" s="104"/>
      <c r="D58" s="104" t="s">
        <v>141</v>
      </c>
      <c r="E58" s="104"/>
      <c r="F58" s="102">
        <f>SUM(F59:F60)</f>
        <v>452</v>
      </c>
      <c r="G58" s="117"/>
      <c r="H58" s="117"/>
      <c r="I58" s="117"/>
      <c r="J58" s="155" t="s">
        <v>125</v>
      </c>
      <c r="K58" s="119"/>
    </row>
    <row r="59" spans="2:28" ht="15.75" x14ac:dyDescent="0.25">
      <c r="B59" s="109"/>
      <c r="C59" s="113"/>
      <c r="D59" s="121"/>
      <c r="E59" s="156" t="s">
        <v>110</v>
      </c>
      <c r="F59" s="111">
        <v>1731</v>
      </c>
      <c r="G59" s="117"/>
      <c r="H59" s="117"/>
      <c r="I59" s="117"/>
      <c r="J59" s="155" t="s">
        <v>126</v>
      </c>
      <c r="K59" s="119">
        <v>97</v>
      </c>
    </row>
    <row r="60" spans="2:28" ht="15.75" x14ac:dyDescent="0.25">
      <c r="B60" s="109"/>
      <c r="C60" s="115"/>
      <c r="D60" s="121"/>
      <c r="E60" s="156" t="s">
        <v>40</v>
      </c>
      <c r="F60" s="111">
        <v>-1279</v>
      </c>
      <c r="G60" s="117"/>
      <c r="H60" s="117"/>
      <c r="I60" s="117"/>
      <c r="J60" s="155" t="s">
        <v>130</v>
      </c>
      <c r="K60" s="119">
        <v>0</v>
      </c>
    </row>
    <row r="61" spans="2:28" ht="15.75" x14ac:dyDescent="0.25">
      <c r="B61" s="109"/>
      <c r="C61" s="104"/>
      <c r="D61" s="104" t="s">
        <v>111</v>
      </c>
      <c r="E61" s="127"/>
      <c r="F61" s="102">
        <f>F62</f>
        <v>35</v>
      </c>
      <c r="G61" s="117"/>
      <c r="H61" s="117"/>
      <c r="I61" s="117"/>
      <c r="J61" s="117"/>
      <c r="K61" s="120"/>
      <c r="L61" s="17"/>
    </row>
    <row r="62" spans="2:28" s="17" customFormat="1" ht="15.75" x14ac:dyDescent="0.25">
      <c r="B62" s="109"/>
      <c r="C62" s="115"/>
      <c r="D62" s="115"/>
      <c r="E62" s="161" t="s">
        <v>88</v>
      </c>
      <c r="F62" s="111">
        <v>35</v>
      </c>
      <c r="G62" s="117"/>
      <c r="H62" s="117"/>
      <c r="I62" s="117"/>
      <c r="K62" s="120"/>
      <c r="L62" s="5"/>
      <c r="Y62" s="85"/>
      <c r="Z62" s="85"/>
      <c r="AA62" s="85"/>
      <c r="AB62" s="128"/>
    </row>
    <row r="63" spans="2:28" ht="15.75" x14ac:dyDescent="0.25">
      <c r="B63" s="109"/>
      <c r="C63" s="104" t="s">
        <v>112</v>
      </c>
      <c r="D63" s="121"/>
      <c r="E63" s="114"/>
      <c r="F63" s="102">
        <f>SUM(F64:F65)</f>
        <v>0</v>
      </c>
      <c r="G63" s="117"/>
      <c r="H63" s="117"/>
      <c r="I63" s="117"/>
      <c r="J63" s="117"/>
      <c r="K63" s="120"/>
    </row>
    <row r="64" spans="2:28" ht="15.75" x14ac:dyDescent="0.25">
      <c r="B64" s="109"/>
      <c r="C64" s="113"/>
      <c r="D64" s="121"/>
      <c r="E64" s="156" t="s">
        <v>113</v>
      </c>
      <c r="F64" s="111">
        <v>394</v>
      </c>
      <c r="G64" s="117"/>
      <c r="H64" s="117"/>
      <c r="I64" s="117"/>
      <c r="J64" s="117"/>
      <c r="K64" s="120"/>
    </row>
    <row r="65" spans="2:25" ht="15.75" x14ac:dyDescent="0.25">
      <c r="B65" s="109"/>
      <c r="C65" s="113"/>
      <c r="D65" s="121"/>
      <c r="E65" s="156" t="s">
        <v>114</v>
      </c>
      <c r="F65" s="111">
        <v>-394</v>
      </c>
      <c r="G65" s="117"/>
      <c r="H65" s="117"/>
      <c r="I65" s="117"/>
      <c r="J65" s="117"/>
      <c r="K65" s="120"/>
    </row>
    <row r="66" spans="2:25" ht="15.75" x14ac:dyDescent="0.25">
      <c r="B66" s="129"/>
      <c r="C66" s="130"/>
      <c r="D66" s="130"/>
      <c r="E66" s="131"/>
      <c r="F66" s="132"/>
      <c r="G66" s="133"/>
      <c r="H66" s="133"/>
      <c r="I66" s="133"/>
      <c r="J66" s="133"/>
      <c r="K66" s="134"/>
    </row>
    <row r="67" spans="2:25" ht="15.75" x14ac:dyDescent="0.25">
      <c r="B67" s="217" t="s">
        <v>115</v>
      </c>
      <c r="C67" s="208"/>
      <c r="D67" s="208"/>
      <c r="E67" s="218"/>
      <c r="F67" s="102">
        <f>SUM(F14+F37+F49)</f>
        <v>249868</v>
      </c>
      <c r="G67" s="219" t="s">
        <v>116</v>
      </c>
      <c r="H67" s="219"/>
      <c r="I67" s="219"/>
      <c r="J67" s="219"/>
      <c r="K67" s="102">
        <f>SUM(K29+K14)</f>
        <v>249868</v>
      </c>
      <c r="L67" s="162">
        <f>F67-K67</f>
        <v>0</v>
      </c>
    </row>
    <row r="68" spans="2:25" x14ac:dyDescent="0.2">
      <c r="B68" s="135"/>
      <c r="C68" s="136"/>
      <c r="D68" s="136"/>
      <c r="E68" s="137"/>
      <c r="F68" s="138"/>
      <c r="G68" s="139"/>
      <c r="H68" s="139"/>
      <c r="I68" s="139"/>
      <c r="J68" s="139"/>
      <c r="K68" s="140"/>
      <c r="L68" s="17"/>
    </row>
    <row r="69" spans="2:25" ht="15.75" x14ac:dyDescent="0.25">
      <c r="B69" s="141"/>
      <c r="C69" s="141"/>
      <c r="D69" s="141"/>
      <c r="E69" s="142"/>
      <c r="F69" s="142"/>
      <c r="G69" s="141"/>
      <c r="H69" s="141"/>
      <c r="I69" s="141"/>
      <c r="J69" s="230"/>
      <c r="K69" s="230"/>
    </row>
    <row r="70" spans="2:25" ht="15.75" x14ac:dyDescent="0.25">
      <c r="B70" s="223" t="s">
        <v>117</v>
      </c>
      <c r="C70" s="223"/>
      <c r="D70" s="223"/>
      <c r="E70" s="223"/>
      <c r="F70" s="144"/>
      <c r="G70" s="231" t="s">
        <v>51</v>
      </c>
      <c r="H70" s="231"/>
      <c r="I70" s="231"/>
      <c r="J70" s="231"/>
      <c r="K70" s="231"/>
    </row>
    <row r="71" spans="2:25" ht="15.75" x14ac:dyDescent="0.25">
      <c r="B71" s="146"/>
      <c r="C71" s="146"/>
      <c r="D71" s="146"/>
      <c r="E71" s="146"/>
      <c r="F71" s="144"/>
      <c r="G71" s="147"/>
      <c r="H71" s="147"/>
      <c r="I71" s="147"/>
      <c r="J71" s="147"/>
      <c r="K71" s="147"/>
    </row>
    <row r="72" spans="2:25" s="17" customFormat="1" ht="13.5" customHeight="1" x14ac:dyDescent="0.25">
      <c r="B72" s="223" t="s">
        <v>142</v>
      </c>
      <c r="C72" s="223"/>
      <c r="D72" s="223"/>
      <c r="E72" s="223"/>
      <c r="F72" s="148"/>
      <c r="G72" s="228" t="s">
        <v>52</v>
      </c>
      <c r="H72" s="228"/>
      <c r="I72" s="228"/>
      <c r="J72" s="228"/>
      <c r="K72" s="228"/>
      <c r="L72" s="5"/>
      <c r="M72" s="5"/>
      <c r="N72" s="5"/>
      <c r="O72" s="5"/>
    </row>
    <row r="73" spans="2:25" s="17" customFormat="1" ht="15.75" x14ac:dyDescent="0.25">
      <c r="B73" s="225" t="s">
        <v>118</v>
      </c>
      <c r="C73" s="225"/>
      <c r="D73" s="225"/>
      <c r="E73" s="225"/>
      <c r="F73" s="149"/>
      <c r="G73" s="228" t="s">
        <v>143</v>
      </c>
      <c r="H73" s="228"/>
      <c r="I73" s="228"/>
      <c r="J73" s="228"/>
      <c r="K73" s="228"/>
      <c r="L73" s="5"/>
    </row>
    <row r="74" spans="2:25" ht="15.75" x14ac:dyDescent="0.25">
      <c r="B74" s="150"/>
      <c r="C74" s="150"/>
      <c r="D74" s="150"/>
      <c r="E74" s="150"/>
      <c r="F74" s="149"/>
      <c r="G74" s="149"/>
      <c r="H74" s="149"/>
      <c r="I74" s="149"/>
      <c r="J74" s="151"/>
      <c r="K74" s="145"/>
      <c r="M74" s="17"/>
      <c r="N74" s="17"/>
      <c r="O74" s="17"/>
    </row>
    <row r="75" spans="2:25" ht="15.75" x14ac:dyDescent="0.25">
      <c r="B75" s="223" t="s">
        <v>131</v>
      </c>
      <c r="C75" s="223"/>
      <c r="D75" s="223"/>
      <c r="E75" s="223"/>
      <c r="F75" s="146"/>
      <c r="G75" s="223" t="s">
        <v>119</v>
      </c>
      <c r="H75" s="225"/>
      <c r="I75" s="225"/>
      <c r="J75" s="225"/>
      <c r="K75" s="225"/>
      <c r="X75" s="220"/>
      <c r="Y75" s="220"/>
    </row>
    <row r="76" spans="2:25" ht="15.75" x14ac:dyDescent="0.25">
      <c r="B76" s="226" t="s">
        <v>49</v>
      </c>
      <c r="C76" s="226"/>
      <c r="D76" s="226"/>
      <c r="E76" s="226"/>
      <c r="F76" s="152"/>
      <c r="G76" s="146"/>
      <c r="H76" s="144"/>
      <c r="I76" s="144"/>
      <c r="J76" s="144"/>
      <c r="K76" s="145"/>
      <c r="X76" s="221"/>
      <c r="Y76" s="222"/>
    </row>
    <row r="77" spans="2:25" ht="15.75" x14ac:dyDescent="0.25">
      <c r="B77" s="149"/>
      <c r="C77" s="149"/>
      <c r="D77" s="149"/>
      <c r="E77" s="151"/>
      <c r="F77" s="152"/>
      <c r="G77" s="226" t="s">
        <v>120</v>
      </c>
      <c r="H77" s="226"/>
      <c r="I77" s="226"/>
      <c r="J77" s="226"/>
      <c r="K77" s="226"/>
    </row>
    <row r="78" spans="2:25" ht="15.75" x14ac:dyDescent="0.25">
      <c r="B78" s="223"/>
      <c r="C78" s="223"/>
      <c r="D78" s="223"/>
      <c r="E78" s="223"/>
      <c r="F78" s="152"/>
      <c r="G78" s="224"/>
      <c r="H78" s="224"/>
      <c r="I78" s="224"/>
      <c r="J78" s="224"/>
      <c r="K78" s="224"/>
    </row>
    <row r="79" spans="2:25" ht="15.75" x14ac:dyDescent="0.25">
      <c r="B79" s="223" t="s">
        <v>151</v>
      </c>
      <c r="C79" s="223"/>
      <c r="D79" s="223"/>
      <c r="E79" s="223"/>
      <c r="F79" s="149"/>
      <c r="G79" s="224" t="s">
        <v>121</v>
      </c>
      <c r="H79" s="225"/>
      <c r="I79" s="225"/>
      <c r="J79" s="225"/>
      <c r="K79" s="225"/>
    </row>
    <row r="80" spans="2:25" ht="15.75" x14ac:dyDescent="0.25">
      <c r="B80" s="226" t="s">
        <v>85</v>
      </c>
      <c r="C80" s="226"/>
      <c r="D80" s="226"/>
      <c r="E80" s="226"/>
      <c r="F80" s="149"/>
      <c r="G80" s="224"/>
      <c r="H80" s="224"/>
      <c r="I80" s="224"/>
      <c r="J80" s="224"/>
      <c r="K80" s="224"/>
    </row>
    <row r="81" spans="2:12" ht="15.75" x14ac:dyDescent="0.25">
      <c r="B81" s="150"/>
      <c r="C81" s="150"/>
      <c r="D81" s="150"/>
      <c r="E81" s="152"/>
      <c r="F81" s="149"/>
      <c r="G81" s="226" t="s">
        <v>122</v>
      </c>
      <c r="H81" s="226"/>
      <c r="I81" s="226"/>
      <c r="J81" s="226"/>
      <c r="K81" s="226"/>
    </row>
    <row r="82" spans="2:12" ht="15.75" x14ac:dyDescent="0.25">
      <c r="B82" s="150"/>
      <c r="C82" s="150"/>
      <c r="D82" s="150"/>
      <c r="E82" s="152"/>
      <c r="F82" s="149"/>
      <c r="G82" s="149"/>
      <c r="H82" s="149"/>
      <c r="I82" s="149"/>
      <c r="J82" s="149"/>
      <c r="K82" s="149"/>
    </row>
    <row r="83" spans="2:12" ht="15.75" x14ac:dyDescent="0.25">
      <c r="B83" s="147" t="s">
        <v>123</v>
      </c>
      <c r="C83" s="147"/>
      <c r="D83" s="147"/>
      <c r="E83" s="147"/>
      <c r="F83" s="147"/>
      <c r="G83" s="147"/>
      <c r="H83" s="147"/>
      <c r="I83" s="147"/>
      <c r="J83" s="147"/>
      <c r="K83" s="149"/>
    </row>
    <row r="84" spans="2:12" ht="15.75" x14ac:dyDescent="0.25">
      <c r="B84" s="226" t="s">
        <v>152</v>
      </c>
      <c r="C84" s="226"/>
      <c r="D84" s="226"/>
      <c r="E84" s="226"/>
      <c r="F84" s="226"/>
      <c r="G84" s="150"/>
      <c r="H84" s="226" t="s">
        <v>144</v>
      </c>
      <c r="I84" s="226"/>
      <c r="J84" s="226"/>
      <c r="K84" s="226"/>
    </row>
    <row r="85" spans="2:12" ht="15.75" x14ac:dyDescent="0.25">
      <c r="B85" s="226" t="s">
        <v>145</v>
      </c>
      <c r="C85" s="226"/>
      <c r="D85" s="226"/>
      <c r="E85" s="226"/>
      <c r="F85" s="226"/>
      <c r="G85" s="149"/>
      <c r="H85" s="226" t="s">
        <v>146</v>
      </c>
      <c r="I85" s="226"/>
      <c r="J85" s="226"/>
      <c r="K85" s="226"/>
    </row>
    <row r="86" spans="2:12" ht="15.75" x14ac:dyDescent="0.25">
      <c r="B86" s="226" t="s">
        <v>154</v>
      </c>
      <c r="C86" s="226"/>
      <c r="D86" s="226"/>
      <c r="E86" s="226"/>
      <c r="F86" s="152"/>
      <c r="G86" s="150"/>
      <c r="H86" s="226" t="s">
        <v>153</v>
      </c>
      <c r="I86" s="226"/>
      <c r="J86" s="226"/>
      <c r="K86" s="226"/>
    </row>
    <row r="87" spans="2:12" ht="15.75" x14ac:dyDescent="0.25">
      <c r="B87" s="16"/>
      <c r="C87" s="16"/>
      <c r="D87" s="16"/>
      <c r="E87" s="153"/>
      <c r="F87" s="153"/>
      <c r="G87" s="16"/>
      <c r="H87" s="16"/>
      <c r="I87" s="16"/>
      <c r="J87" s="153"/>
      <c r="K87" s="154"/>
    </row>
    <row r="88" spans="2:12" x14ac:dyDescent="0.2">
      <c r="K88" s="7"/>
    </row>
    <row r="89" spans="2:12" ht="15.75" x14ac:dyDescent="0.25">
      <c r="J89" s="227" t="s">
        <v>155</v>
      </c>
      <c r="K89" s="227"/>
    </row>
    <row r="93" spans="2:12" x14ac:dyDescent="0.2">
      <c r="L93" s="143"/>
    </row>
  </sheetData>
  <mergeCells count="39">
    <mergeCell ref="B79:E79"/>
    <mergeCell ref="G79:K79"/>
    <mergeCell ref="B80:E80"/>
    <mergeCell ref="G80:K80"/>
    <mergeCell ref="J89:K89"/>
    <mergeCell ref="G81:K81"/>
    <mergeCell ref="B84:F84"/>
    <mergeCell ref="H84:K84"/>
    <mergeCell ref="B85:F85"/>
    <mergeCell ref="H85:K85"/>
    <mergeCell ref="B86:E86"/>
    <mergeCell ref="H86:K86"/>
    <mergeCell ref="X75:Y75"/>
    <mergeCell ref="B76:E76"/>
    <mergeCell ref="X76:Y76"/>
    <mergeCell ref="B78:E78"/>
    <mergeCell ref="G78:K78"/>
    <mergeCell ref="G77:K77"/>
    <mergeCell ref="J69:K69"/>
    <mergeCell ref="B70:E70"/>
    <mergeCell ref="G70:K70"/>
    <mergeCell ref="B72:E72"/>
    <mergeCell ref="G72:K72"/>
    <mergeCell ref="B73:E73"/>
    <mergeCell ref="G73:K73"/>
    <mergeCell ref="B75:E75"/>
    <mergeCell ref="G75:K75"/>
    <mergeCell ref="J11:K11"/>
    <mergeCell ref="B12:E12"/>
    <mergeCell ref="G12:J12"/>
    <mergeCell ref="I26:J26"/>
    <mergeCell ref="B67:E67"/>
    <mergeCell ref="G67:J67"/>
    <mergeCell ref="C10:K10"/>
    <mergeCell ref="B4:K4"/>
    <mergeCell ref="B6:K6"/>
    <mergeCell ref="B7:K7"/>
    <mergeCell ref="B8:F8"/>
    <mergeCell ref="B9:J9"/>
  </mergeCells>
  <printOptions horizontalCentered="1" verticalCentered="1"/>
  <pageMargins left="0.51181102362204722" right="0.51181102362204722" top="0.19685039370078741" bottom="0.15748031496062992" header="0.15748031496062992" footer="0.1574803149606299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 2014</vt:lpstr>
      <vt:lpstr>FEV 2014 </vt:lpstr>
      <vt:lpstr>MAR 2014 </vt:lpstr>
      <vt:lpstr>ABR 2014  </vt:lpstr>
      <vt:lpstr>MAI 2014  </vt:lpstr>
      <vt:lpstr>JUN 2014</vt:lpstr>
      <vt:lpstr>AGOSTO 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marcos.nascimento</dc:creator>
  <cp:lastModifiedBy>Vandeir Junior Carneiro Silva</cp:lastModifiedBy>
  <cp:lastPrinted>2023-10-05T13:35:44Z</cp:lastPrinted>
  <dcterms:created xsi:type="dcterms:W3CDTF">2009-01-05T20:09:54Z</dcterms:created>
  <dcterms:modified xsi:type="dcterms:W3CDTF">2023-10-05T13:36:12Z</dcterms:modified>
</cp:coreProperties>
</file>